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860" firstSheet="10" activeTab="18"/>
  </bookViews>
  <sheets>
    <sheet name="2017财政收入总表" sheetId="48" r:id="rId1"/>
    <sheet name="2017财政支出总表" sheetId="49" r:id="rId2"/>
    <sheet name="2017一般公共预算收入" sheetId="13" r:id="rId3"/>
    <sheet name="2017一般公共预算支出" sheetId="14" r:id="rId4"/>
    <sheet name="2017基金预算收入 " sheetId="34" r:id="rId5"/>
    <sheet name="2017基金预算支出 " sheetId="35" r:id="rId6"/>
    <sheet name="2017社保基金收支" sheetId="24" r:id="rId7"/>
    <sheet name="2017国有资本" sheetId="25" r:id="rId8"/>
    <sheet name="2017一般公共预算基本支出" sheetId="43" r:id="rId9"/>
    <sheet name="2017年专项转移支付" sheetId="42" r:id="rId10"/>
    <sheet name="2017年一般性转移支付" sheetId="44" r:id="rId11"/>
    <sheet name="2018年上半年一般公共收入" sheetId="15" r:id="rId12"/>
    <sheet name="2018年上半年一般公共支出安排" sheetId="16" r:id="rId13"/>
    <sheet name="2018基金收入" sheetId="20" r:id="rId14"/>
    <sheet name="2018基金支出" sheetId="19" r:id="rId15"/>
    <sheet name="2018社保基金" sheetId="23" r:id="rId16"/>
    <sheet name="2018国有资本" sheetId="22" r:id="rId17"/>
    <sheet name="2017年政府一般债务限额和余额" sheetId="45" r:id="rId18"/>
    <sheet name="2017年政府专项债务限额和余额 " sheetId="47" r:id="rId19"/>
  </sheets>
  <definedNames>
    <definedName name="_xlnm._FilterDatabase" localSheetId="1" hidden="1">'2017财政支出总表'!#REF!</definedName>
    <definedName name="_xlnm._FilterDatabase" localSheetId="5" hidden="1">'2017基金预算支出 '!$A$3:$G$3</definedName>
    <definedName name="_xlnm._FilterDatabase" localSheetId="3" hidden="1">'2017一般公共预算支出'!$A$3:$G$554</definedName>
    <definedName name="_xlnm.Print_Area" localSheetId="0">'2017财政收入总表'!$A$1:$F$47</definedName>
    <definedName name="_xlnm.Print_Area" localSheetId="1">'2017财政支出总表'!#REF!</definedName>
    <definedName name="_xlnm.Print_Area" localSheetId="4">'2017基金预算收入 '!$A$1:$F$15</definedName>
    <definedName name="_xlnm.Print_Area" localSheetId="5">'2017基金预算支出 '!$A$1:$F$62</definedName>
    <definedName name="_xlnm.Print_Area" localSheetId="10">'2017年一般性转移支付'!$A$1:$C$123</definedName>
    <definedName name="_xlnm.Print_Area" localSheetId="9">'2017年专项转移支付'!$A$1:$C$399</definedName>
    <definedName name="_xlnm.Print_Area" localSheetId="8">'2017一般公共预算基本支出'!$A$1:$B$65</definedName>
    <definedName name="_xlnm.Print_Area" localSheetId="2">'2017一般公共预算收入'!$A$1:$F$35</definedName>
    <definedName name="_xlnm.Print_Area" localSheetId="3">'2017一般公共预算支出'!$A$1:$F$555</definedName>
    <definedName name="_xlnm.Print_Area" localSheetId="14">'2018基金支出'!$A$1:$F$29</definedName>
    <definedName name="_xlnm.Print_Area" localSheetId="12">'2018年上半年一般公共支出安排'!$A$1:$F$513</definedName>
    <definedName name="_xlnm.Print_Titles" localSheetId="0">'2017财政收入总表'!$1:$3</definedName>
    <definedName name="_xlnm.Print_Titles" localSheetId="1">'2017财政支出总表'!#REF!</definedName>
    <definedName name="_xlnm.Print_Titles" localSheetId="4">'2017基金预算收入 '!$1:$3</definedName>
    <definedName name="_xlnm.Print_Titles" localSheetId="5">'2017基金预算支出 '!$1:$3</definedName>
    <definedName name="_xlnm.Print_Titles" localSheetId="10">'2017年一般性转移支付'!$1:$3</definedName>
    <definedName name="_xlnm.Print_Titles" localSheetId="17">'2017年政府一般债务限额和余额'!$1:$2</definedName>
    <definedName name="_xlnm.Print_Titles" localSheetId="18">'2017年政府专项债务限额和余额 '!$1:$2</definedName>
    <definedName name="_xlnm.Print_Titles" localSheetId="9">'2017年专项转移支付'!$1:$3</definedName>
    <definedName name="_xlnm.Print_Titles" localSheetId="8">'2017一般公共预算基本支出'!$1:$3</definedName>
    <definedName name="_xlnm.Print_Titles" localSheetId="2">'2017一般公共预算收入'!$1:$3</definedName>
    <definedName name="_xlnm.Print_Titles" localSheetId="3">'2017一般公共预算支出'!$1:$3</definedName>
    <definedName name="_xlnm.Print_Titles" localSheetId="11">'2018年上半年一般公共收入'!$1:$3</definedName>
    <definedName name="_xlnm.Print_Titles" localSheetId="12">'2018年上半年一般公共支出安排'!$1:$3</definedName>
  </definedNames>
  <calcPr calcId="144525"/>
</workbook>
</file>

<file path=xl/sharedStrings.xml><?xml version="1.0" encoding="utf-8"?>
<sst xmlns="http://schemas.openxmlformats.org/spreadsheetml/2006/main" count="2656" uniqueCount="1757">
  <si>
    <t>孝义市二○一七年财政收入完成情况表</t>
  </si>
  <si>
    <t>表一</t>
  </si>
  <si>
    <t>单位：万元</t>
  </si>
  <si>
    <t>收    入    项    目</t>
  </si>
  <si>
    <t>2017年调整     预算数</t>
  </si>
  <si>
    <t>2017年完成数</t>
  </si>
  <si>
    <t>完成数为调整       预算</t>
  </si>
  <si>
    <t>完成数比2016年     增减</t>
  </si>
  <si>
    <t>备           注</t>
  </si>
  <si>
    <r>
      <rPr>
        <sz val="11"/>
        <rFont val="Times New Roman"/>
        <charset val="134"/>
      </rPr>
      <t>16</t>
    </r>
    <r>
      <rPr>
        <sz val="11"/>
        <rFont val="宋体"/>
        <charset val="134"/>
      </rPr>
      <t>年完成</t>
    </r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</si>
  <si>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</si>
  <si>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</si>
  <si>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</si>
  <si>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</si>
  <si>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</si>
  <si>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</si>
  <si>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</si>
  <si>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</si>
  <si>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</si>
  <si>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</si>
  <si>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</si>
  <si>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</si>
  <si>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</si>
  <si>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</si>
  <si>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二、非税收入</t>
  </si>
  <si>
    <t>1、专项收入</t>
  </si>
  <si>
    <t>2、行政性收费收入</t>
  </si>
  <si>
    <t>3、罚没收入</t>
  </si>
  <si>
    <t>4、国有资源（资产）有偿使用收入</t>
  </si>
  <si>
    <t>5、捐赠收入</t>
  </si>
  <si>
    <t>6、政府住房基金收入</t>
  </si>
  <si>
    <t>7、其他收入</t>
  </si>
  <si>
    <t xml:space="preserve">一般公共预算收入合计           </t>
  </si>
  <si>
    <t>三、转移性收入</t>
  </si>
  <si>
    <t>1、返还性收入</t>
  </si>
  <si>
    <t>2、一般性转移支付收入</t>
  </si>
  <si>
    <t>3、专项转移支付收入</t>
  </si>
  <si>
    <t>4、地方政府一般债券转贷收入</t>
  </si>
  <si>
    <t>5、一般公共预算上年结余收入</t>
  </si>
  <si>
    <t>6、调入政府性基金</t>
  </si>
  <si>
    <t>7、调入预算稳定调节基金</t>
  </si>
  <si>
    <t>一般公共预算收入总计</t>
  </si>
  <si>
    <t>一、国有土地使用权出让金收入</t>
  </si>
  <si>
    <t>二、城市基础设施配套费收入</t>
  </si>
  <si>
    <t>三、国有土地收益基金收入</t>
  </si>
  <si>
    <t>四、农业土地开发资金收入</t>
  </si>
  <si>
    <t>五、城市公用事业附加收入</t>
  </si>
  <si>
    <t>六、污水处理费收入</t>
  </si>
  <si>
    <t>七、其他政府性基金收入</t>
  </si>
  <si>
    <t>基金预算收入合计</t>
  </si>
  <si>
    <t>上年结余收入</t>
  </si>
  <si>
    <t>地方政府专项债券转贷收入</t>
  </si>
  <si>
    <t>专项转移支付收入</t>
  </si>
  <si>
    <t>基金预算收入总计</t>
  </si>
  <si>
    <t>孝义市二○一七年财政支出执行情况表</t>
  </si>
  <si>
    <t>表二</t>
  </si>
  <si>
    <r>
      <rPr>
        <sz val="12"/>
        <rFont val="宋体"/>
        <charset val="134"/>
      </rPr>
      <t>支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出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项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</si>
  <si>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Times New Roman"/>
        <charset val="134"/>
      </rPr>
      <t>2017</t>
    </r>
    <r>
      <rPr>
        <sz val="12"/>
        <rFont val="宋体"/>
        <charset val="134"/>
      </rPr>
      <t>年调整预算数</t>
    </r>
  </si>
  <si>
    <r>
      <rPr>
        <sz val="12"/>
        <rFont val="Times New Roman"/>
        <charset val="134"/>
      </rPr>
      <t>2017</t>
    </r>
    <r>
      <rPr>
        <sz val="12"/>
        <rFont val="宋体"/>
        <charset val="134"/>
      </rPr>
      <t>年执行数</t>
    </r>
  </si>
  <si>
    <t>执行为调整预算</t>
  </si>
  <si>
    <r>
      <rPr>
        <sz val="12"/>
        <rFont val="宋体"/>
        <charset val="134"/>
      </rPr>
      <t>执行比</t>
    </r>
    <r>
      <rPr>
        <sz val="12"/>
        <rFont val="Times New Roman"/>
        <charset val="134"/>
      </rPr>
      <t>2016</t>
    </r>
    <r>
      <rPr>
        <sz val="12"/>
        <rFont val="宋体"/>
        <charset val="134"/>
      </rPr>
      <t>年增减</t>
    </r>
  </si>
  <si>
    <r>
      <rPr>
        <sz val="12"/>
        <rFont val="宋体"/>
        <charset val="134"/>
      </rPr>
      <t>备</t>
    </r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注</t>
    </r>
  </si>
  <si>
    <t>一、一般公共服务支出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</si>
  <si>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</si>
  <si>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</si>
  <si>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</si>
  <si>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</si>
  <si>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</si>
  <si>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</si>
  <si>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八、社会保障和就业支出</t>
  </si>
  <si>
    <t>九、医疗卫生与计划生育支出</t>
  </si>
  <si>
    <t>十、节能环保支出</t>
  </si>
  <si>
    <t>十一、城乡社区事务</t>
  </si>
  <si>
    <t>十二、农林水事务</t>
  </si>
  <si>
    <t>十三、交通运输</t>
  </si>
  <si>
    <t>十四、资源勘探信息等事务</t>
  </si>
  <si>
    <t>十五、商业服务业等事务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</si>
  <si>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</si>
  <si>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</si>
  <si>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</si>
  <si>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</si>
  <si>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</si>
  <si>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</si>
  <si>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二十二、债务付息支出</t>
  </si>
  <si>
    <t xml:space="preserve">一般公共预算支出合计           </t>
  </si>
  <si>
    <t>体制上解</t>
  </si>
  <si>
    <t>专项上解支出</t>
  </si>
  <si>
    <t>地方政府一般债务还本支出</t>
  </si>
  <si>
    <t>安排预算稳定调节基金</t>
  </si>
  <si>
    <t xml:space="preserve">一般公共预算支出总计           </t>
  </si>
  <si>
    <t>滚存结余</t>
  </si>
  <si>
    <t>结转下年支出</t>
  </si>
  <si>
    <t>一、文化体育与传媒支出</t>
  </si>
  <si>
    <t>二、社会保障和就业支出</t>
  </si>
  <si>
    <t>三、城乡社区支出</t>
  </si>
  <si>
    <t>四、农林水事务</t>
  </si>
  <si>
    <t>五、商业服务业等支出</t>
  </si>
  <si>
    <t>六、其他支出</t>
  </si>
  <si>
    <t>七、债务付息支出</t>
  </si>
  <si>
    <t>基金预算支出合计</t>
  </si>
  <si>
    <t>调出资金</t>
  </si>
  <si>
    <t>基金预算支出总计</t>
  </si>
  <si>
    <t>孝义市二○一七年一般公共预算收入完成情况表</t>
  </si>
  <si>
    <t>表三</t>
  </si>
  <si>
    <t>孝义市二○一七年一般公共预算支出执行情况表</t>
  </si>
  <si>
    <t>表四</t>
  </si>
  <si>
    <t>支    出    项    目</t>
  </si>
  <si>
    <t>2017年调整预算数</t>
  </si>
  <si>
    <t>2017年执行数</t>
  </si>
  <si>
    <t>执行比2016年增减</t>
  </si>
  <si>
    <t>备   注</t>
  </si>
  <si>
    <r>
      <rPr>
        <sz val="12"/>
        <rFont val="Times New Roman"/>
        <charset val="134"/>
      </rPr>
      <t>16</t>
    </r>
    <r>
      <rPr>
        <sz val="12"/>
        <rFont val="宋体"/>
        <charset val="134"/>
      </rPr>
      <t>年完成</t>
    </r>
  </si>
  <si>
    <t xml:space="preserve">    人大事务</t>
  </si>
  <si>
    <t xml:space="preserve">      行政运行(人大)</t>
  </si>
  <si>
    <t xml:space="preserve">           事业运行</t>
  </si>
  <si>
    <t xml:space="preserve">           代表工作</t>
  </si>
  <si>
    <t xml:space="preserve">           其他人大事务</t>
  </si>
  <si>
    <t xml:space="preserve">    政协事务</t>
  </si>
  <si>
    <t xml:space="preserve">      行政运行(政协)</t>
  </si>
  <si>
    <t xml:space="preserve">      事业运行</t>
  </si>
  <si>
    <t xml:space="preserve">    政府办公厅(室)及相关机构事务</t>
  </si>
  <si>
    <t xml:space="preserve">      行政运行(政府办公厅)</t>
  </si>
  <si>
    <t xml:space="preserve">      机关服务(政府办公厅)</t>
  </si>
  <si>
    <t xml:space="preserve">      信访事务</t>
  </si>
  <si>
    <t xml:space="preserve">           事业运行(政府办事务)</t>
  </si>
  <si>
    <t xml:space="preserve">      其他政府办公厅（室）及相关机构事务支出</t>
  </si>
  <si>
    <t xml:space="preserve">    发展与改革事务</t>
  </si>
  <si>
    <t xml:space="preserve">      行政运行(发展与改革)</t>
  </si>
  <si>
    <t xml:space="preserve">      物价管理</t>
  </si>
  <si>
    <t xml:space="preserve">           其他发展与改革事务支出</t>
  </si>
  <si>
    <t xml:space="preserve">    统计信息事务</t>
  </si>
  <si>
    <t xml:space="preserve">      行政运行(统计信息)</t>
  </si>
  <si>
    <t xml:space="preserve">           专项普查活动</t>
  </si>
  <si>
    <t xml:space="preserve">    财政事务</t>
  </si>
  <si>
    <t xml:space="preserve">      行政运行(财政)</t>
  </si>
  <si>
    <t xml:space="preserve">           一般行政管理事务(财政)</t>
  </si>
  <si>
    <t xml:space="preserve">      其他财政事务支出</t>
  </si>
  <si>
    <t xml:space="preserve">    税收事务</t>
  </si>
  <si>
    <t xml:space="preserve">           其他税收事务支出</t>
  </si>
  <si>
    <t xml:space="preserve">    审计事务</t>
  </si>
  <si>
    <t xml:space="preserve">      行政运行(审计)</t>
  </si>
  <si>
    <t xml:space="preserve">      一般行政管理事务（审计）</t>
  </si>
  <si>
    <t xml:space="preserve">           事业运行(审计)</t>
  </si>
  <si>
    <t xml:space="preserve">    海关事务</t>
  </si>
  <si>
    <t xml:space="preserve">    人力资源事务</t>
  </si>
  <si>
    <t xml:space="preserve">      行政运行(人事)</t>
  </si>
  <si>
    <t xml:space="preserve">      军队转业干部安置</t>
  </si>
  <si>
    <t xml:space="preserve">    纪检监察事务</t>
  </si>
  <si>
    <t xml:space="preserve">      行政运行(纪检监察)</t>
  </si>
  <si>
    <t xml:space="preserve">      大案要案查处</t>
  </si>
  <si>
    <t xml:space="preserve">      其他纪检监察事务支出</t>
  </si>
  <si>
    <t xml:space="preserve">    商贸事务</t>
  </si>
  <si>
    <t xml:space="preserve">      行政运行</t>
  </si>
  <si>
    <t xml:space="preserve">    知识产权事务</t>
  </si>
  <si>
    <t xml:space="preserve">    工商行政管理事务</t>
  </si>
  <si>
    <t xml:space="preserve">            行政运行</t>
  </si>
  <si>
    <t xml:space="preserve">            其他工商行政管理事务支出</t>
  </si>
  <si>
    <t xml:space="preserve">    质量技术监督与检验检疫事务</t>
  </si>
  <si>
    <t xml:space="preserve">            标准化管理</t>
  </si>
  <si>
    <t xml:space="preserve">            事业运行</t>
  </si>
  <si>
    <t xml:space="preserve">           其他质量技术监督与检验检疫事务支出</t>
  </si>
  <si>
    <t xml:space="preserve">    民族事务</t>
  </si>
  <si>
    <t xml:space="preserve">    宗教事务</t>
  </si>
  <si>
    <t xml:space="preserve">      事业运行(宗教)</t>
  </si>
  <si>
    <t xml:space="preserve">      其他宗教事务支出</t>
  </si>
  <si>
    <t xml:space="preserve">    港澳台侨事务</t>
  </si>
  <si>
    <t xml:space="preserve">      事业运行(港澳台侨)</t>
  </si>
  <si>
    <t xml:space="preserve">    档案事务</t>
  </si>
  <si>
    <t xml:space="preserve">      行政运行(档案)</t>
  </si>
  <si>
    <t xml:space="preserve">    民主党派及工商联事务</t>
  </si>
  <si>
    <t xml:space="preserve">    群众团体事务</t>
  </si>
  <si>
    <t xml:space="preserve">      行政运行(群众团体)</t>
  </si>
  <si>
    <t xml:space="preserve">      一般行政管理事务(群众团体)</t>
  </si>
  <si>
    <t xml:space="preserve">      事业运行(群众团体)</t>
  </si>
  <si>
    <t xml:space="preserve">           其他群众团体事务支出</t>
  </si>
  <si>
    <t xml:space="preserve">    党委办公厅（室）及相关机构事务</t>
  </si>
  <si>
    <t xml:space="preserve">      一般行政管理事务</t>
  </si>
  <si>
    <t xml:space="preserve">    组织事务</t>
  </si>
  <si>
    <t xml:space="preserve">      行政运行(组织)</t>
  </si>
  <si>
    <t xml:space="preserve">      一般行政管理事务（组织）</t>
  </si>
  <si>
    <t xml:space="preserve">      事业运行（组织）</t>
  </si>
  <si>
    <t xml:space="preserve">      其他组织事务支出</t>
  </si>
  <si>
    <t xml:space="preserve">    宣传事务</t>
  </si>
  <si>
    <t xml:space="preserve">      行政运行(宣传)</t>
  </si>
  <si>
    <t xml:space="preserve">      一般行政管理事务(宣传)</t>
  </si>
  <si>
    <t xml:space="preserve">      事业运行(宣传)</t>
  </si>
  <si>
    <t xml:space="preserve">    统战事务</t>
  </si>
  <si>
    <t xml:space="preserve">      行政运行(统战)</t>
  </si>
  <si>
    <t xml:space="preserve">    对外联络事务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</si>
  <si>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</si>
  <si>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</si>
  <si>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</si>
  <si>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</si>
  <si>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</si>
  <si>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</si>
  <si>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</si>
  <si>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</si>
  <si>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        其他国防支出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</si>
  <si>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</si>
  <si>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</si>
  <si>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</si>
  <si>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</si>
  <si>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行政运行(公安)</t>
  </si>
  <si>
    <t xml:space="preserve">           一般行政管理事务(公安)</t>
  </si>
  <si>
    <t xml:space="preserve">      国内安全保卫</t>
  </si>
  <si>
    <t xml:space="preserve">      禁毒管理  </t>
  </si>
  <si>
    <t xml:space="preserve">      道路交通管理</t>
  </si>
  <si>
    <t xml:space="preserve">      拘押收教场所管理</t>
  </si>
  <si>
    <t xml:space="preserve">           其他公安支出 </t>
  </si>
  <si>
    <t xml:space="preserve">    国家安全</t>
  </si>
  <si>
    <t xml:space="preserve">    检察</t>
  </si>
  <si>
    <t xml:space="preserve">      行政运行(检察)</t>
  </si>
  <si>
    <t xml:space="preserve">            一般行政管理事务</t>
  </si>
  <si>
    <t xml:space="preserve">    法院</t>
  </si>
  <si>
    <t xml:space="preserve">      行政运行(法院)</t>
  </si>
  <si>
    <t xml:space="preserve">           一般行政管理事务 </t>
  </si>
  <si>
    <t xml:space="preserve">    司法</t>
  </si>
  <si>
    <t xml:space="preserve">       行政运行（司法）</t>
  </si>
  <si>
    <t xml:space="preserve">       一般行政管理事务</t>
  </si>
  <si>
    <t xml:space="preserve">       法律援助</t>
  </si>
  <si>
    <t xml:space="preserve">       事业运行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</si>
  <si>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</si>
  <si>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</si>
  <si>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</si>
  <si>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</si>
  <si>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</si>
  <si>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 xml:space="preserve">            其他消防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</si>
  <si>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</si>
  <si>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</si>
  <si>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</si>
  <si>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</si>
  <si>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</si>
  <si>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</si>
  <si>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</si>
  <si>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</si>
  <si>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</si>
  <si>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</si>
  <si>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    其他职业教育支出</t>
  </si>
  <si>
    <t xml:space="preserve">    成人教育</t>
  </si>
  <si>
    <t xml:space="preserve">           其他成人教育支出</t>
  </si>
  <si>
    <t xml:space="preserve">    广播电视教育</t>
  </si>
  <si>
    <t xml:space="preserve">      广播电视学校</t>
  </si>
  <si>
    <t xml:space="preserve">    留学教育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</si>
  <si>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</si>
  <si>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</si>
  <si>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</si>
  <si>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</si>
  <si>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</si>
  <si>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</si>
  <si>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</si>
  <si>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其他教育费附加安排支出</t>
  </si>
  <si>
    <t xml:space="preserve">    其他教育支出</t>
  </si>
  <si>
    <t xml:space="preserve">            其他教育支出</t>
  </si>
  <si>
    <t xml:space="preserve">    科学技术管理事务</t>
  </si>
  <si>
    <t xml:space="preserve">      行政运行(科学技术管理)</t>
  </si>
  <si>
    <t xml:space="preserve">    基础研究</t>
  </si>
  <si>
    <t xml:space="preserve">    应用研究</t>
  </si>
  <si>
    <t xml:space="preserve">    技术研究与开发</t>
  </si>
  <si>
    <t xml:space="preserve">           产业技术研究与开发</t>
  </si>
  <si>
    <t xml:space="preserve">      科技成果转化与扩散</t>
  </si>
  <si>
    <t xml:space="preserve">          其他技术研究与开发支出</t>
  </si>
  <si>
    <t xml:space="preserve">    科技条件与服务</t>
  </si>
  <si>
    <t xml:space="preserve">      其他科技条件与服务支出</t>
  </si>
  <si>
    <t xml:space="preserve">    社会科学</t>
  </si>
  <si>
    <t xml:space="preserve">    科学技术普及</t>
  </si>
  <si>
    <t xml:space="preserve">            机构运行</t>
  </si>
  <si>
    <t xml:space="preserve">       科普活动</t>
  </si>
  <si>
    <t xml:space="preserve">            其他科学技术普及支出</t>
  </si>
  <si>
    <t xml:space="preserve">    科技交流与合作</t>
  </si>
  <si>
    <t xml:space="preserve">    科技重大专项</t>
  </si>
  <si>
    <t xml:space="preserve">    其他科学技术支出</t>
  </si>
  <si>
    <t xml:space="preserve">            其他科学技术支出</t>
  </si>
  <si>
    <t xml:space="preserve">    文化</t>
  </si>
  <si>
    <t xml:space="preserve">      行政运行(文化)</t>
  </si>
  <si>
    <t xml:space="preserve">      图书馆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</si>
  <si>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</si>
  <si>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</si>
  <si>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</si>
  <si>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</si>
  <si>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     文化创作与保护 </t>
  </si>
  <si>
    <t xml:space="preserve">      文化市场管理</t>
  </si>
  <si>
    <t xml:space="preserve">      其他文化支出</t>
  </si>
  <si>
    <t xml:space="preserve">    文物</t>
  </si>
  <si>
    <t xml:space="preserve">           文物保护</t>
  </si>
  <si>
    <t xml:space="preserve">      博物馆</t>
  </si>
  <si>
    <t xml:space="preserve">           其他文物支出</t>
  </si>
  <si>
    <t xml:space="preserve">    体育</t>
  </si>
  <si>
    <t xml:space="preserve">      体育场馆</t>
  </si>
  <si>
    <t xml:space="preserve">      群众体育</t>
  </si>
  <si>
    <t xml:space="preserve">    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</si>
  <si>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</si>
  <si>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</si>
  <si>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</si>
  <si>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</si>
  <si>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</si>
  <si>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  新闻通讯</t>
  </si>
  <si>
    <t xml:space="preserve">    其他文化体育与传媒支出</t>
  </si>
  <si>
    <t xml:space="preserve">            宣传文化发展专项支出</t>
  </si>
  <si>
    <t xml:space="preserve">            文化产业发展专项支出</t>
  </si>
  <si>
    <t xml:space="preserve">            其他文化体育与传媒支出</t>
  </si>
  <si>
    <t xml:space="preserve">    人力资源和社会保障管理事务</t>
  </si>
  <si>
    <t xml:space="preserve">       行政运行(社会保障和就业管理)</t>
  </si>
  <si>
    <t xml:space="preserve">       劳动保障监察</t>
  </si>
  <si>
    <t xml:space="preserve">       社会保险经办机构</t>
  </si>
  <si>
    <t xml:space="preserve">             其他人力资源和社会保障管理事务支出</t>
  </si>
  <si>
    <t xml:space="preserve">    民政管理事务</t>
  </si>
  <si>
    <t xml:space="preserve">       行政运行(民政管理)</t>
  </si>
  <si>
    <t xml:space="preserve">       拥军优属</t>
  </si>
  <si>
    <t xml:space="preserve">       老龄事务</t>
  </si>
  <si>
    <t xml:space="preserve">             行政区划和地名管理</t>
  </si>
  <si>
    <t xml:space="preserve">             基层政权和社区建设</t>
  </si>
  <si>
    <t xml:space="preserve">       其他民政管理事务支出</t>
  </si>
  <si>
    <t xml:space="preserve">     财政对基本养老保险基金的补助</t>
  </si>
  <si>
    <t xml:space="preserve">       财政对企业职工基本养老保险基金的补助</t>
  </si>
  <si>
    <t xml:space="preserve">       财政对城乡居民基本养老保险基金的补助</t>
  </si>
  <si>
    <t xml:space="preserve">        财政对其他社会保险基金的补助</t>
  </si>
  <si>
    <t xml:space="preserve">             财政对生育保险基金的补助</t>
  </si>
  <si>
    <t xml:space="preserve">            其他财政对社会保险基金的补助</t>
  </si>
  <si>
    <t xml:space="preserve">   行政事业单位离退休</t>
  </si>
  <si>
    <t xml:space="preserve">       归口管理的行政单位离退休</t>
  </si>
  <si>
    <t xml:space="preserve">       事业单位离退休</t>
  </si>
  <si>
    <t xml:space="preserve">       离退休人员管理机构</t>
  </si>
  <si>
    <t xml:space="preserve">       未归口管理的行政单位离退休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</si>
  <si>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</si>
  <si>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</si>
  <si>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</si>
  <si>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   其他行政事业单位离退休支出</t>
  </si>
  <si>
    <t xml:space="preserve">    企业改革补助</t>
  </si>
  <si>
    <t xml:space="preserve">    就业补助</t>
  </si>
  <si>
    <t xml:space="preserve">            社会保险补贴</t>
  </si>
  <si>
    <t xml:space="preserve">      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</si>
  <si>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</si>
  <si>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</si>
  <si>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</si>
  <si>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优抚事业单位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</si>
  <si>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</si>
  <si>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</si>
  <si>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</si>
  <si>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</si>
  <si>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     军队移交政府的离退休人员安置</t>
  </si>
  <si>
    <t xml:space="preserve">           军队移交政府的离退休干部管理机构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</si>
  <si>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</si>
  <si>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</si>
  <si>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</si>
  <si>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</si>
  <si>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</si>
  <si>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</si>
  <si>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</si>
  <si>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</si>
  <si>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行政运行(残疾人事业)</t>
  </si>
  <si>
    <t xml:space="preserve">           残疾人康复 </t>
  </si>
  <si>
    <t xml:space="preserve">           残疾人就业和扶贫 </t>
  </si>
  <si>
    <t xml:space="preserve">           残疾人生活和护理补贴</t>
  </si>
  <si>
    <t xml:space="preserve">           其他残疾人事业支出 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</si>
  <si>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</si>
  <si>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</si>
  <si>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</si>
  <si>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临时救助</t>
  </si>
  <si>
    <t xml:space="preserve">      临时救助支出</t>
  </si>
  <si>
    <t xml:space="preserve">      流浪乞讨人员救助支出</t>
  </si>
  <si>
    <t xml:space="preserve">    自然灾害生活救助</t>
  </si>
  <si>
    <t xml:space="preserve">            中央自然灾害生活补助</t>
  </si>
  <si>
    <t xml:space="preserve">            地方自然灾害生活补助</t>
  </si>
  <si>
    <t xml:space="preserve">    红十字事业</t>
  </si>
  <si>
    <t xml:space="preserve">    最低生活保障</t>
  </si>
  <si>
    <t xml:space="preserve">            城市最低生活保障金支出</t>
  </si>
  <si>
    <t xml:space="preserve">            农村最低生活保障金支出</t>
  </si>
  <si>
    <t xml:space="preserve">    其他生活救助</t>
  </si>
  <si>
    <t xml:space="preserve">           其他城市生活救助</t>
  </si>
  <si>
    <t xml:space="preserve">       其他农村生活救助支出</t>
  </si>
  <si>
    <t xml:space="preserve">    补充道路交通事故社会救助基金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</si>
  <si>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</si>
  <si>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</si>
  <si>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</si>
  <si>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  行政运行(医疗卫生管理)</t>
  </si>
  <si>
    <t xml:space="preserve">           其他医疗卫生与计划生育管理事务支出</t>
  </si>
  <si>
    <t xml:space="preserve">    公立医院</t>
  </si>
  <si>
    <t xml:space="preserve">       综合医院</t>
  </si>
  <si>
    <t xml:space="preserve">       中医(民族)医院</t>
  </si>
  <si>
    <t xml:space="preserve">            其他公立医院支出</t>
  </si>
  <si>
    <t xml:space="preserve">    基层医疗卫生机构</t>
  </si>
  <si>
    <t xml:space="preserve">            城市社区卫生机构</t>
  </si>
  <si>
    <t xml:space="preserve">            乡镇卫生院</t>
  </si>
  <si>
    <t xml:space="preserve">      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</si>
  <si>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</si>
  <si>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</si>
  <si>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</si>
  <si>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</si>
  <si>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       基本公共卫生服务</t>
  </si>
  <si>
    <t xml:space="preserve">             重大公共卫生专项</t>
  </si>
  <si>
    <t xml:space="preserve">      其他公共卫生支出</t>
  </si>
  <si>
    <t xml:space="preserve">    中医药</t>
  </si>
  <si>
    <t xml:space="preserve">            中医(民族医)药专项</t>
  </si>
  <si>
    <t xml:space="preserve">            其他中医药支出</t>
  </si>
  <si>
    <t xml:space="preserve">    计划生育事务</t>
  </si>
  <si>
    <t xml:space="preserve">            计划生育机构</t>
  </si>
  <si>
    <t xml:space="preserve">            计划生育服务</t>
  </si>
  <si>
    <t xml:space="preserve">     其他计划生育事务支出</t>
  </si>
  <si>
    <t xml:space="preserve">   食品和药品监督管理事务</t>
  </si>
  <si>
    <t xml:space="preserve">            行政运行 </t>
  </si>
  <si>
    <t xml:space="preserve">            一般行政管理事务 </t>
  </si>
  <si>
    <t xml:space="preserve">            食品安全事务</t>
  </si>
  <si>
    <t xml:space="preserve">            其他食品和药品监督管理事务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</si>
  <si>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</si>
  <si>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</si>
  <si>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</si>
  <si>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</si>
  <si>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</si>
  <si>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 财政对新型农村合作医疗基金的补助</t>
  </si>
  <si>
    <t xml:space="preserve">       财政对城镇居民基本医疗保险基金的补助</t>
  </si>
  <si>
    <t xml:space="preserve">    医疗救助</t>
  </si>
  <si>
    <t xml:space="preserve">       城乡医疗救助</t>
  </si>
  <si>
    <t xml:space="preserve">    优抚对象医疗</t>
  </si>
  <si>
    <t xml:space="preserve">       优抚对象医疗补助</t>
  </si>
  <si>
    <t xml:space="preserve">    其他医疗卫生与计划生育支出</t>
  </si>
  <si>
    <t xml:space="preserve">      其他医疗卫生与计划生育支出</t>
  </si>
  <si>
    <t xml:space="preserve">    环境保护管理事务</t>
  </si>
  <si>
    <t xml:space="preserve">      行政运行(环境保护)</t>
  </si>
  <si>
    <t xml:space="preserve">      其他环境保护管理事务支出</t>
  </si>
  <si>
    <t xml:space="preserve">    环境监测与监察</t>
  </si>
  <si>
    <t xml:space="preserve">           其他环境监测与监察支出</t>
  </si>
  <si>
    <t xml:space="preserve">    污染防治</t>
  </si>
  <si>
    <t xml:space="preserve">      大气</t>
  </si>
  <si>
    <t xml:space="preserve">      水体 </t>
  </si>
  <si>
    <t xml:space="preserve">           固体废弃物与化学品</t>
  </si>
  <si>
    <t xml:space="preserve">      其他污染防治支出</t>
  </si>
  <si>
    <t xml:space="preserve">    自然生态保护</t>
  </si>
  <si>
    <t xml:space="preserve">           农村环境保护</t>
  </si>
  <si>
    <t xml:space="preserve">    天然林保护</t>
  </si>
  <si>
    <t xml:space="preserve">           森林管护</t>
  </si>
  <si>
    <t xml:space="preserve">           社会保险补助</t>
  </si>
  <si>
    <t xml:space="preserve">           政策性社会性支出补助</t>
  </si>
  <si>
    <t xml:space="preserve">           天然林保护工程建设</t>
  </si>
  <si>
    <t xml:space="preserve">           其他天然林保护支出</t>
  </si>
  <si>
    <t xml:space="preserve">    退耕还林</t>
  </si>
  <si>
    <t xml:space="preserve">           退耕现金 </t>
  </si>
  <si>
    <t xml:space="preserve">           其他退耕还林支出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</si>
  <si>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</si>
  <si>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</si>
  <si>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</si>
  <si>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</si>
  <si>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        能源节约利用</t>
  </si>
  <si>
    <t xml:space="preserve">    污染减排</t>
  </si>
  <si>
    <t xml:space="preserve">      环境监测与信息</t>
  </si>
  <si>
    <t xml:space="preserve">             减排专项支出</t>
  </si>
  <si>
    <t xml:space="preserve">    可再生能源</t>
  </si>
  <si>
    <t xml:space="preserve">    循环经济</t>
  </si>
  <si>
    <t xml:space="preserve">    能源管理事务</t>
  </si>
  <si>
    <t xml:space="preserve">    江河湖库流域治理与保护</t>
  </si>
  <si>
    <t xml:space="preserve">    其他节能环保支出</t>
  </si>
  <si>
    <t xml:space="preserve">      城乡社区管理事务</t>
  </si>
  <si>
    <t xml:space="preserve">        行政运行(城乡社区管理)</t>
  </si>
  <si>
    <t xml:space="preserve">        城管执法</t>
  </si>
  <si>
    <t xml:space="preserve">        市政公用行业市场监管</t>
  </si>
  <si>
    <t xml:space="preserve">              其他城乡社区管理事务支出</t>
  </si>
  <si>
    <t xml:space="preserve">      城乡社区规划与管理</t>
  </si>
  <si>
    <t xml:space="preserve">              城乡社区规划与管理</t>
  </si>
  <si>
    <t xml:space="preserve">      城乡社区公共设施</t>
  </si>
  <si>
    <t xml:space="preserve">        小城镇基础设施建设 </t>
  </si>
  <si>
    <t xml:space="preserve">        其他城乡社区公共设施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</si>
  <si>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</si>
  <si>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</si>
  <si>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</si>
  <si>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</si>
  <si>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</si>
  <si>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农业</t>
  </si>
  <si>
    <t xml:space="preserve">        行政运行(农业)</t>
  </si>
  <si>
    <t xml:space="preserve">        事业运行（农业）</t>
  </si>
  <si>
    <t xml:space="preserve">        科技转化与技术推广</t>
  </si>
  <si>
    <t xml:space="preserve">        病虫害控制</t>
  </si>
  <si>
    <t xml:space="preserve">              农产品质量安全 </t>
  </si>
  <si>
    <t xml:space="preserve">        统计监测与信息服务</t>
  </si>
  <si>
    <t xml:space="preserve">              农业生支持补贴</t>
  </si>
  <si>
    <t xml:space="preserve">              农业生产保险补贴</t>
  </si>
  <si>
    <t xml:space="preserve">              农业组织化与产业化经营</t>
  </si>
  <si>
    <t xml:space="preserve">               农业资源保护修复与利用</t>
  </si>
  <si>
    <t xml:space="preserve">               对高校毕业生到基层任职补助</t>
  </si>
  <si>
    <t xml:space="preserve">               其他农业支出</t>
  </si>
  <si>
    <t xml:space="preserve">      林业</t>
  </si>
  <si>
    <t xml:space="preserve">         行政运行(林业)</t>
  </si>
  <si>
    <t xml:space="preserve">         林业事业机构</t>
  </si>
  <si>
    <t xml:space="preserve">                森林培育 </t>
  </si>
  <si>
    <t xml:space="preserve">                森林资源管理 </t>
  </si>
  <si>
    <t xml:space="preserve">                森林生态效益补偿 </t>
  </si>
  <si>
    <t xml:space="preserve">                湿地保护</t>
  </si>
  <si>
    <t xml:space="preserve">                林业执法与监督</t>
  </si>
  <si>
    <t xml:space="preserve">                林业产业化</t>
  </si>
  <si>
    <t xml:space="preserve">                林业自然保护区</t>
  </si>
  <si>
    <t xml:space="preserve">                石油价格改革对林业的补贴</t>
  </si>
  <si>
    <t xml:space="preserve">                森林保险保费补贴</t>
  </si>
  <si>
    <t xml:space="preserve">                林业防灾减灾</t>
  </si>
  <si>
    <t xml:space="preserve">                其他林业支出</t>
  </si>
  <si>
    <t xml:space="preserve">      水利</t>
  </si>
  <si>
    <t xml:space="preserve">        行政运行(水利)</t>
  </si>
  <si>
    <t xml:space="preserve">               水利工程建设 </t>
  </si>
  <si>
    <t xml:space="preserve">               水利工程运行与维护</t>
  </si>
  <si>
    <t xml:space="preserve">               水土保持 </t>
  </si>
  <si>
    <t xml:space="preserve">               水资源节约管理与保护</t>
  </si>
  <si>
    <t xml:space="preserve">               防汛</t>
  </si>
  <si>
    <t xml:space="preserve">               抗旱</t>
  </si>
  <si>
    <t xml:space="preserve">               农田水利 </t>
  </si>
  <si>
    <t xml:space="preserve">         水利技术推广</t>
  </si>
  <si>
    <t xml:space="preserve">               大中型水库移民后期扶持专项支出</t>
  </si>
  <si>
    <t xml:space="preserve">               信息管理</t>
  </si>
  <si>
    <t xml:space="preserve">               农村人畜饮水 </t>
  </si>
  <si>
    <t xml:space="preserve">               其他水利支出</t>
  </si>
  <si>
    <t xml:space="preserve">      南水北调</t>
  </si>
  <si>
    <t xml:space="preserve">      扶贫</t>
  </si>
  <si>
    <t xml:space="preserve">               农村基础设施建设</t>
  </si>
  <si>
    <t xml:space="preserve">               生产发展</t>
  </si>
  <si>
    <t xml:space="preserve">               扶贫贷款奖补和贴息</t>
  </si>
  <si>
    <t xml:space="preserve">        其他扶贫支出</t>
  </si>
  <si>
    <t xml:space="preserve">      农业综合开发</t>
  </si>
  <si>
    <t xml:space="preserve">               土地治理 </t>
  </si>
  <si>
    <t xml:space="preserve">               产业化经营</t>
  </si>
  <si>
    <t xml:space="preserve">        其他农业综合开发支出</t>
  </si>
  <si>
    <t xml:space="preserve">      农村综合改革</t>
  </si>
  <si>
    <t xml:space="preserve">                对村级一事一议的补助</t>
  </si>
  <si>
    <t xml:space="preserve">         对村民委员会和村党支部的补助</t>
  </si>
  <si>
    <t xml:space="preserve">                农村综合改革示范试点补助</t>
  </si>
  <si>
    <t xml:space="preserve">                其他农村综合改革</t>
  </si>
  <si>
    <t xml:space="preserve">      惠普金融发展支出</t>
  </si>
  <si>
    <t xml:space="preserve">                支持农村金融机构</t>
  </si>
  <si>
    <t xml:space="preserve">                农业保险保费</t>
  </si>
  <si>
    <t xml:space="preserve">      目标价格补贴</t>
  </si>
  <si>
    <t xml:space="preserve">      其他农林水事务支出</t>
  </si>
  <si>
    <t xml:space="preserve">                其他农林水事务支出</t>
  </si>
  <si>
    <t xml:space="preserve">                化解其他公益性乡村债务支出</t>
  </si>
  <si>
    <t xml:space="preserve">      公路水路运输</t>
  </si>
  <si>
    <t xml:space="preserve">        行政运行(公路水路运输)</t>
  </si>
  <si>
    <t xml:space="preserve">              公路建设</t>
  </si>
  <si>
    <t xml:space="preserve">              公路养护</t>
  </si>
  <si>
    <t xml:space="preserve">              公路运输管理</t>
  </si>
  <si>
    <t xml:space="preserve">        其他公路水路运输支出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</si>
  <si>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</si>
  <si>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</si>
  <si>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</si>
  <si>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          对城市公交的补贴</t>
  </si>
  <si>
    <t xml:space="preserve">                对农村道路客运的补贴</t>
  </si>
  <si>
    <t xml:space="preserve">                对出租车的补贴</t>
  </si>
  <si>
    <t xml:space="preserve">      邮政业支出</t>
  </si>
  <si>
    <t xml:space="preserve">         其他邮政业支出</t>
  </si>
  <si>
    <t xml:space="preserve">      车辆购置税支出</t>
  </si>
  <si>
    <t xml:space="preserve">                 车辆购置税用于农村公路建设支出</t>
  </si>
  <si>
    <t xml:space="preserve">      其他交通运输支出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</si>
  <si>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</si>
  <si>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</si>
  <si>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</si>
  <si>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</si>
  <si>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         行政运行(工业信息监管支出)</t>
  </si>
  <si>
    <t xml:space="preserve">               工业和信息产业支持</t>
  </si>
  <si>
    <t xml:space="preserve">        其他工业和信息产业监管支出</t>
  </si>
  <si>
    <t xml:space="preserve">      安全生产监管</t>
  </si>
  <si>
    <t xml:space="preserve">        行政运行(安全生产)</t>
  </si>
  <si>
    <t xml:space="preserve">        其他安全生产监管支出</t>
  </si>
  <si>
    <t xml:space="preserve">      国有资产监管</t>
  </si>
  <si>
    <t xml:space="preserve">      支持中小企业发展和管理支出</t>
  </si>
  <si>
    <t xml:space="preserve">        行政运行(中小企业)</t>
  </si>
  <si>
    <t xml:space="preserve">              中小企业发展专项</t>
  </si>
  <si>
    <t xml:space="preserve">        其他支持中小企业发展和管理支出</t>
  </si>
  <si>
    <t xml:space="preserve">      其他资源勘探信息等支出</t>
  </si>
  <si>
    <t xml:space="preserve">                技术改造支出</t>
  </si>
  <si>
    <t xml:space="preserve">      商业流通事务</t>
  </si>
  <si>
    <t xml:space="preserve">        行政运行(商业流通)</t>
  </si>
  <si>
    <t xml:space="preserve">               事业运行</t>
  </si>
  <si>
    <t xml:space="preserve">               其他商业流通事务支出</t>
  </si>
  <si>
    <t xml:space="preserve">      旅游业管理与服务支出</t>
  </si>
  <si>
    <t xml:space="preserve">               其他旅游业管理与服务支出</t>
  </si>
  <si>
    <t xml:space="preserve">     涉外发展服务支出</t>
  </si>
  <si>
    <t xml:space="preserve">               其他涉外发展服务支出</t>
  </si>
  <si>
    <t xml:space="preserve">     其他商业服务业等支出</t>
  </si>
  <si>
    <t xml:space="preserve">       其他商业服务业等支出(项)</t>
  </si>
  <si>
    <t xml:space="preserve">      金融部门行政支出</t>
  </si>
  <si>
    <t xml:space="preserve">      金融发展支出</t>
  </si>
  <si>
    <t xml:space="preserve">      其他金融支出</t>
  </si>
  <si>
    <t xml:space="preserve">      其他支出</t>
  </si>
  <si>
    <t xml:space="preserve">      国土资源事务</t>
  </si>
  <si>
    <t xml:space="preserve">        行政运行(国土资源)</t>
  </si>
  <si>
    <t xml:space="preserve">              国土整治</t>
  </si>
  <si>
    <t xml:space="preserve">        地质灾害防治</t>
  </si>
  <si>
    <t xml:space="preserve">        地质矿产资源利用与保护</t>
  </si>
  <si>
    <t xml:space="preserve">               其他国土资源事务支出</t>
  </si>
  <si>
    <t xml:space="preserve">      海洋管理事务</t>
  </si>
  <si>
    <t xml:space="preserve">      测绘事务</t>
  </si>
  <si>
    <t xml:space="preserve">        行政运行</t>
  </si>
  <si>
    <t xml:space="preserve">      地震事务</t>
  </si>
  <si>
    <t xml:space="preserve">               地震事业机构</t>
  </si>
  <si>
    <t xml:space="preserve">      气象事务</t>
  </si>
  <si>
    <t xml:space="preserve">        其他气象事务支出</t>
  </si>
  <si>
    <t xml:space="preserve">      其他国土海洋气象等支出</t>
  </si>
  <si>
    <t xml:space="preserve">       保障性安居工程支出</t>
  </si>
  <si>
    <t xml:space="preserve">         廉租住房</t>
  </si>
  <si>
    <t xml:space="preserve">                棚户区改造</t>
  </si>
  <si>
    <t xml:space="preserve">                农村危房改造</t>
  </si>
  <si>
    <t xml:space="preserve">                公共租赁住房支出</t>
  </si>
  <si>
    <t xml:space="preserve">                保障性住房租金补贴</t>
  </si>
  <si>
    <t xml:space="preserve">                其他保障性安居工程支出</t>
  </si>
  <si>
    <t xml:space="preserve">      住房改革支出</t>
  </si>
  <si>
    <t xml:space="preserve">         住房公积金</t>
  </si>
  <si>
    <t xml:space="preserve">      城乡社区住宅</t>
  </si>
  <si>
    <t xml:space="preserve">         其他城乡社区住宅支出</t>
  </si>
  <si>
    <t xml:space="preserve">         住房公积金管理</t>
  </si>
  <si>
    <t xml:space="preserve">      粮油事务</t>
  </si>
  <si>
    <t xml:space="preserve">                事业运行</t>
  </si>
  <si>
    <t xml:space="preserve">                其他粮油事务支出</t>
  </si>
  <si>
    <t xml:space="preserve">      物资事务</t>
  </si>
  <si>
    <t xml:space="preserve">         行政运行(物资事务)</t>
  </si>
  <si>
    <t xml:space="preserve">         事业运行</t>
  </si>
  <si>
    <t xml:space="preserve">      能源储备</t>
  </si>
  <si>
    <t xml:space="preserve">      粮油储备</t>
  </si>
  <si>
    <t xml:space="preserve">      重要商品储备</t>
  </si>
  <si>
    <t xml:space="preserve">        年初预留</t>
  </si>
  <si>
    <t xml:space="preserve">        其他支出</t>
  </si>
  <si>
    <t xml:space="preserve">          其他支出</t>
  </si>
  <si>
    <t xml:space="preserve">        地方政府一般债券付息支出</t>
  </si>
  <si>
    <t xml:space="preserve">        地方政府其他一般债务付息支出</t>
  </si>
  <si>
    <t>说明：2017年执行数包括年初预算、上年结转、上级专项补助和转移支付资金等。</t>
  </si>
  <si>
    <t>孝义市二○一七年政府性基金预算收入完成情况表</t>
  </si>
  <si>
    <t>表五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</si>
  <si>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入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目</t>
    </r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</si>
  <si>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年调整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预算数</t>
    </r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</si>
  <si>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年完成数</t>
    </r>
  </si>
  <si>
    <r>
      <rPr>
        <sz val="11"/>
        <rFont val="宋体"/>
        <charset val="134"/>
      </rPr>
      <t>完成数比</t>
    </r>
    <r>
      <rPr>
        <sz val="11"/>
        <rFont val="Times New Roman"/>
        <charset val="134"/>
      </rPr>
      <t>2016</t>
    </r>
    <r>
      <rPr>
        <sz val="11"/>
        <rFont val="宋体"/>
        <charset val="134"/>
      </rPr>
      <t>年     增减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</si>
  <si>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注</t>
    </r>
  </si>
  <si>
    <t>孝义市二○一七年政府性基金预算支出执行情况表</t>
  </si>
  <si>
    <t>表六</t>
  </si>
  <si>
    <r>
      <rPr>
        <sz val="11"/>
        <rFont val="宋体"/>
        <charset val="134"/>
      </rPr>
      <t>支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出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目</t>
    </r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</si>
  <si>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年调整预算数</t>
    </r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</si>
  <si>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年执行数</t>
    </r>
  </si>
  <si>
    <r>
      <rPr>
        <sz val="11"/>
        <rFont val="宋体"/>
        <charset val="134"/>
      </rPr>
      <t>执行比</t>
    </r>
    <r>
      <rPr>
        <sz val="11"/>
        <rFont val="Times New Roman"/>
        <charset val="134"/>
      </rPr>
      <t>2016</t>
    </r>
    <r>
      <rPr>
        <sz val="11"/>
        <rFont val="宋体"/>
        <charset val="134"/>
      </rPr>
      <t>年增减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</si>
  <si>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注</t>
    </r>
  </si>
  <si>
    <t xml:space="preserve">    国家电影事业发展专项资金及对应专项债务收入安排的支出</t>
  </si>
  <si>
    <t xml:space="preserve">       资助城市影院</t>
  </si>
  <si>
    <t xml:space="preserve">    大中型水库移民后期扶持基金支出</t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</si>
  <si>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宋体"/>
        <charset val="134"/>
      </rPr>
      <t>移民补助</t>
    </r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</si>
  <si>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宋体"/>
        <charset val="134"/>
      </rPr>
      <t>基础设施建设和经济发展</t>
    </r>
  </si>
  <si>
    <t xml:space="preserve">    小型水库移民扶助基金及对应专项债务收入安排的支出</t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</si>
  <si>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宋体"/>
        <charset val="134"/>
      </rPr>
      <t>其他小型水库移民扶助基金支出</t>
    </r>
  </si>
  <si>
    <t xml:space="preserve">    国有土地使用权出让收入及对应专项债务收入安排的支出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</si>
  <si>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征地和拆迁补偿支出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</si>
  <si>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城市建设支出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</si>
  <si>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补助被征地农民支出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</si>
  <si>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土地出让业务支出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</si>
  <si>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廉租住房支出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</si>
  <si>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棚户区改造支出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</si>
  <si>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支付破产或改制企业职工安置费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</si>
  <si>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公共租赁住房支出</t>
    </r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</si>
  <si>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宋体"/>
        <charset val="134"/>
      </rPr>
      <t>其他国有土地使用权出让收入安排的支出</t>
    </r>
  </si>
  <si>
    <t xml:space="preserve">    城市公用事业附加及对应专项债务收入安排的支出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</si>
  <si>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城市公共设施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</si>
  <si>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城市环境卫生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</si>
  <si>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其他城市公用事业附加安排的支出</t>
    </r>
  </si>
  <si>
    <t xml:space="preserve">    国有土地收益基金及对应专项债务收入安排的支出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</si>
  <si>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征地和拆迁补偿支出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</si>
  <si>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土地开发支出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</si>
  <si>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其他国有土地收益基金支出</t>
    </r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</si>
  <si>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</si>
  <si>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</si>
  <si>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  城市环境卫生</t>
  </si>
  <si>
    <t xml:space="preserve">    污水处理费及对应专项债务收入安排的支出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</si>
  <si>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污水处理设施建设和运营</t>
    </r>
  </si>
  <si>
    <t xml:space="preserve">    大中型水库库区基金及对应专项债务收入安排的支出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</si>
  <si>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其他大中型水库库区基金支出</t>
    </r>
  </si>
  <si>
    <t xml:space="preserve">    旅游发展基金支出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</si>
  <si>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地方旅游开发项目补助</t>
    </r>
  </si>
  <si>
    <t xml:space="preserve">    彩票公益金及对应专项债务收入安排的支出</t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</si>
  <si>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用于社会福利的彩票公益金支出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</si>
  <si>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用于体育事业的彩票公益金支出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</si>
  <si>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用于教育事业的彩票公益金支出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</si>
  <si>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用于残疾人事业的彩票公益金支出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</si>
  <si>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用于文化事业的彩票公益金支出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</si>
  <si>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用于城乡医疗救助的彩票公益金支出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</si>
  <si>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用于其他社会公益事业的彩票公益金支出</t>
    </r>
  </si>
  <si>
    <t xml:space="preserve">    其他政府性基金及对应专项债务收入安排的支出</t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</si>
  <si>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宋体"/>
        <charset val="134"/>
      </rPr>
      <t>其他政府性基金支出</t>
    </r>
  </si>
  <si>
    <t xml:space="preserve">       国有土地使用权出让金债务付息支出</t>
  </si>
  <si>
    <t>说明：2017年执行数包括年初预算、上年结转、上级专项补助等。</t>
  </si>
  <si>
    <t>孝义市二○一七年社会保险基金预算收支执行情况表</t>
  </si>
  <si>
    <t>表七</t>
  </si>
  <si>
    <t>项   目</t>
  </si>
  <si>
    <t>2017年收入数</t>
  </si>
  <si>
    <t>2017年支出数</t>
  </si>
  <si>
    <t>2017年收支结余</t>
  </si>
  <si>
    <t>备注</t>
  </si>
  <si>
    <t>预算数</t>
  </si>
  <si>
    <t>执行数</t>
  </si>
  <si>
    <t>执行为预算的</t>
  </si>
  <si>
    <t>1、企业职工基本养老保险基金</t>
  </si>
  <si>
    <t>当年执行数</t>
  </si>
  <si>
    <t>动用列年结余</t>
  </si>
  <si>
    <t>2、机关事业单位基本养老保险基金</t>
  </si>
  <si>
    <t>3、城乡居民基本养老保险基金</t>
  </si>
  <si>
    <t>4、职工基本医疗保险基金</t>
  </si>
  <si>
    <t>5、新型农村合作医疗基金</t>
  </si>
  <si>
    <t>6、居民基本医疗保险基金</t>
  </si>
  <si>
    <t>7、工伤保险基金</t>
  </si>
  <si>
    <t>8、失业保险基金</t>
  </si>
  <si>
    <t>9、生育保险基金</t>
  </si>
  <si>
    <t>合   计</t>
  </si>
  <si>
    <t>孝义市二○一七年国有资本经营预算收支执行情况表</t>
  </si>
  <si>
    <t>表八</t>
  </si>
  <si>
    <t>项目</t>
  </si>
  <si>
    <t>2017年预算数</t>
  </si>
  <si>
    <t>执行为预算的%</t>
  </si>
  <si>
    <t>执行为2016年决算的%</t>
  </si>
  <si>
    <t>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</si>
  <si>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</si>
  <si>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</si>
  <si>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</si>
  <si>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</si>
  <si>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</si>
  <si>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支出合计</t>
  </si>
  <si>
    <t>一、教育</t>
  </si>
  <si>
    <t>二、科学技术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</si>
  <si>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</si>
  <si>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</si>
  <si>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</si>
  <si>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</si>
  <si>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</si>
  <si>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</si>
  <si>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</t>
  </si>
  <si>
    <t>十、商业服务业等</t>
  </si>
  <si>
    <t>十一、其他支出</t>
  </si>
  <si>
    <t>孝义市二○一七年一般公共预算基本支出分类经济科目</t>
  </si>
  <si>
    <t>表九</t>
  </si>
  <si>
    <t>经济科目名称</t>
  </si>
  <si>
    <t>决算数</t>
  </si>
  <si>
    <t>合 计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</si>
  <si>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</si>
  <si>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</si>
  <si>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</si>
  <si>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</si>
  <si>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</si>
  <si>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</si>
  <si>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</si>
  <si>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</si>
  <si>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</si>
  <si>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</si>
  <si>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</si>
  <si>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</si>
  <si>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</si>
  <si>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</si>
  <si>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</si>
  <si>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</si>
  <si>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</si>
  <si>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</si>
  <si>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</si>
  <si>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</si>
  <si>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</si>
  <si>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</si>
  <si>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</si>
  <si>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</si>
  <si>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</si>
  <si>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</si>
  <si>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</si>
  <si>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</si>
  <si>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</si>
  <si>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</si>
  <si>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</si>
  <si>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</si>
  <si>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</si>
  <si>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</si>
  <si>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</si>
  <si>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</si>
  <si>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</si>
  <si>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</si>
  <si>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</si>
  <si>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</si>
  <si>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</si>
  <si>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</si>
  <si>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</si>
  <si>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</si>
  <si>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</si>
  <si>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</si>
  <si>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</si>
  <si>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</si>
  <si>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购房补贴</t>
  </si>
  <si>
    <t xml:space="preserve">    采暖补贴</t>
  </si>
  <si>
    <t xml:space="preserve">    其他对个人和家庭的补助支出</t>
  </si>
  <si>
    <t>四、对企事业单位的补贴</t>
  </si>
  <si>
    <t xml:space="preserve">    企业政策性补贴</t>
  </si>
  <si>
    <t xml:space="preserve">    事业单位补贴</t>
  </si>
  <si>
    <t xml:space="preserve">    其他对企事业单位的补贴</t>
  </si>
  <si>
    <t>五、其他资本性支出</t>
  </si>
  <si>
    <t xml:space="preserve">    房屋建筑物购建</t>
  </si>
  <si>
    <t xml:space="preserve">    专用设备购置</t>
  </si>
  <si>
    <t xml:space="preserve">    基础设施建设</t>
  </si>
  <si>
    <t xml:space="preserve">    物资储备</t>
  </si>
  <si>
    <t xml:space="preserve">    其他交通工具购置</t>
  </si>
  <si>
    <t>孝义市二○一七年专项转移支付项目情况表</t>
  </si>
  <si>
    <t>表十</t>
  </si>
  <si>
    <t>下达金额</t>
  </si>
  <si>
    <t xml:space="preserve">      人大代表经费</t>
  </si>
  <si>
    <t xml:space="preserve">      补助全省经济社会发展审计经费</t>
  </si>
  <si>
    <t xml:space="preserve">      中央财政2016、2017年自主择业军队转业干部管理</t>
  </si>
  <si>
    <t xml:space="preserve">      国家级服务业标准化试点奖励经费</t>
  </si>
  <si>
    <t xml:space="preserve">      关于提前下达2017年省级寺观教堂维修补助经费指</t>
  </si>
  <si>
    <t xml:space="preserve">      妇女儿童工作省级资金—宣传教育项目（女性文化</t>
  </si>
  <si>
    <t xml:space="preserve">      妇女儿童工作省级资金—基层组织建设（基层妇联</t>
  </si>
  <si>
    <t xml:space="preserve">      提前下达2017年困难职工帮扶省级配套资金</t>
  </si>
  <si>
    <t xml:space="preserve">      预拨2017年困难职工帮扶省级配套资金</t>
  </si>
  <si>
    <t xml:space="preserve">      关于提前下达2017年度非公党建工作省级专项经费</t>
  </si>
  <si>
    <t xml:space="preserve">      关于下达2016年度农村（社区）党员教育培训省级</t>
  </si>
  <si>
    <t xml:space="preserve">      农村基层组织工作经费(含离任两委主干生活补贴</t>
  </si>
  <si>
    <t xml:space="preserve">      全市农村“两委”主干培训市级补助经费</t>
  </si>
  <si>
    <t xml:space="preserve">      2016年度“五个好”乡镇党委、“五个好”村党组</t>
  </si>
  <si>
    <t xml:space="preserve">      2016年党员教育培训市级配套资金</t>
  </si>
  <si>
    <t xml:space="preserve">      下达乡镇（街道）运转经费</t>
  </si>
  <si>
    <t xml:space="preserve">      乡镇干部周转房建设经费</t>
  </si>
  <si>
    <t xml:space="preserve">      非公经济组织和社会组织联合组建党组织工作经费</t>
  </si>
  <si>
    <t>二、公共安全支出</t>
  </si>
  <si>
    <t xml:space="preserve">      中央禁毒补助专款</t>
  </si>
  <si>
    <t xml:space="preserve">      2017年公安交通管理省级补助资金</t>
  </si>
  <si>
    <t xml:space="preserve">      提前下达2017年公安交通管理省级补助资金—2017</t>
  </si>
  <si>
    <t xml:space="preserve">      提前下达2017年公安交通管理省级补助资金—专项</t>
  </si>
  <si>
    <t xml:space="preserve">      社会治安综合治理先进奖励金</t>
  </si>
  <si>
    <t xml:space="preserve">      全省省级法院诉讼费统筹资金-业务装备</t>
  </si>
  <si>
    <t xml:space="preserve">      全省省级法院诉讼费统筹资金-基础设施</t>
  </si>
  <si>
    <t>三、教育支出</t>
  </si>
  <si>
    <t xml:space="preserve">      17年国家助学贷款市县奖补资金</t>
  </si>
  <si>
    <t xml:space="preserve">      下达17年扩大学前教育资源中央奖补资金的通知</t>
  </si>
  <si>
    <t xml:space="preserve">      关于提前下达17年教育、文化民生政策市级配套资</t>
  </si>
  <si>
    <t xml:space="preserve">      关于提前下达17年学前教育幼儿资助中央资金</t>
  </si>
  <si>
    <t xml:space="preserve">      关于提前17年学前教育幼儿资助省级资金</t>
  </si>
  <si>
    <t xml:space="preserve">      农村幼儿园建设省级专项资金预算</t>
  </si>
  <si>
    <t xml:space="preserve">      下达17年扩大学前教育资源中央奖补资金</t>
  </si>
  <si>
    <t xml:space="preserve">      下达17年学前教育幼儿资助中央专项经费</t>
  </si>
  <si>
    <t xml:space="preserve">      下达17年学前教育幼儿资助省级专项经费的通知</t>
  </si>
  <si>
    <t xml:space="preserve">      下达17年学期教育幼儿资助市级配套资金的通知</t>
  </si>
  <si>
    <t xml:space="preserve">      提前下达17年高中助学金中央资金的通知</t>
  </si>
  <si>
    <t xml:space="preserve">      关于提前下达17年普通高中助学金中央资金</t>
  </si>
  <si>
    <t xml:space="preserve">      关于提前下达17年普通高中免学杂费中央资金</t>
  </si>
  <si>
    <t xml:space="preserve">      17年普通高中免学杂费中央补助经费</t>
  </si>
  <si>
    <t xml:space="preserve">      17年普通高中免学杂费省级补助经费</t>
  </si>
  <si>
    <t xml:space="preserve">      中央中等职业教育国家助学金</t>
  </si>
  <si>
    <t xml:space="preserve">      关于提前下达17年中职免学费中央补助资金</t>
  </si>
  <si>
    <t xml:space="preserve">      关于提前下达17年中职免学费省级补助资金</t>
  </si>
  <si>
    <t xml:space="preserve">      17年现代职业教育质量提升计划中央专项资金</t>
  </si>
  <si>
    <t xml:space="preserve">      17年中职免学费（第二批）中央资金</t>
  </si>
  <si>
    <t xml:space="preserve">      17年中职免学费（第二批）省级资金</t>
  </si>
  <si>
    <t xml:space="preserve">      17年中职助学金（第二批）中央资金</t>
  </si>
  <si>
    <t xml:space="preserve">      中职高职建档立卡贫困家庭生活费补助</t>
  </si>
  <si>
    <t xml:space="preserve">      关于提前下达2017年省级农村财会人员培训经费</t>
  </si>
  <si>
    <t xml:space="preserve">      2017年农村财会人员市级配套培训经费</t>
  </si>
  <si>
    <t xml:space="preserve">      关于下达2017年特殊教育学校改善办学条件省级经</t>
  </si>
  <si>
    <t xml:space="preserve">      2017年中小学幼儿园教师培训经费（全员培训）</t>
  </si>
  <si>
    <t xml:space="preserve">      17年教育专项奖励经费的通知</t>
  </si>
  <si>
    <t>四、科学技术支出</t>
  </si>
  <si>
    <t xml:space="preserve">      2017年市级科技研发资金</t>
  </si>
  <si>
    <t>五、文化体育与传媒支出</t>
  </si>
  <si>
    <t xml:space="preserve">      17年国家非物质文化遗产保护中央专项资金的通知</t>
  </si>
  <si>
    <t xml:space="preserve">      关于提前下达17年省级非物质文化遗产保护专项资</t>
  </si>
  <si>
    <t xml:space="preserve">      2017年国家文物保护专项资金（第二批）</t>
  </si>
  <si>
    <t xml:space="preserve">      小垣村西庙维修经费补助</t>
  </si>
  <si>
    <t xml:space="preserve">      关于提前下达2017年乡镇（公社）老放映员生活补</t>
  </si>
  <si>
    <t xml:space="preserve">      关于下达2017年中央补助地方公共文化服务体系建</t>
  </si>
  <si>
    <t xml:space="preserve">      下达无线数字化覆盖覆盖工程补助资金的通知</t>
  </si>
  <si>
    <t xml:space="preserve">      调整2017年中央补助广播电视节目无线覆盖数字运</t>
  </si>
  <si>
    <t xml:space="preserve">      17年乡镇老放映员生活补贴市级配套资金的通知</t>
  </si>
  <si>
    <t xml:space="preserve">      关于提前下达2017年度省级文化事业建设费的通知</t>
  </si>
  <si>
    <t xml:space="preserve">      关于提前下达2017年文化产业专项省级资金的通知</t>
  </si>
  <si>
    <t xml:space="preserve">      公共文化服务体系中央补助</t>
  </si>
  <si>
    <t xml:space="preserve">      公共文化服务体系省级资金</t>
  </si>
  <si>
    <t xml:space="preserve">      关于提前下达2017年中央补助地方公共文化服务体</t>
  </si>
  <si>
    <t xml:space="preserve">      农村有寄宿制学生的中小学校电影放映省级补贴</t>
  </si>
  <si>
    <t xml:space="preserve">      2017年中央补助地方公共文化服务体系建设专项资</t>
  </si>
  <si>
    <t>六、社会保障和就业支出</t>
  </si>
  <si>
    <t xml:space="preserve">      2017年市级社区居委会配套资金</t>
  </si>
  <si>
    <t xml:space="preserve">      提前下达中央财政2017年就业专项资金</t>
  </si>
  <si>
    <t xml:space="preserve">      提前下达省级财政2017年政府购买基层公共服务岗</t>
  </si>
  <si>
    <t xml:space="preserve">      2017年中央财政就业补助资金</t>
  </si>
  <si>
    <t xml:space="preserve">      提前下达2017年老党员生活补助省级资金</t>
  </si>
  <si>
    <t xml:space="preserve">      提前下达中央财政2017年老党员生活补助资金</t>
  </si>
  <si>
    <t xml:space="preserve">      提前下达中央财政2017年优抚对象抚恤补助</t>
  </si>
  <si>
    <t xml:space="preserve">      提前下达2017年优抚对象抚恤补助省级资金</t>
  </si>
  <si>
    <t xml:space="preserve">      2017年优抚对象抚恤补助资金</t>
  </si>
  <si>
    <t xml:space="preserve">      2017年中央财政优抚对象抚恤补助资金</t>
  </si>
  <si>
    <t xml:space="preserve">      2017年省级优抚对象抚恤补助资金</t>
  </si>
  <si>
    <t xml:space="preserve">      2017年中央财政老党员生活补贴</t>
  </si>
  <si>
    <t xml:space="preserve">      2017年省级财政老党员生活补贴资金</t>
  </si>
  <si>
    <t xml:space="preserve">      提前下达市级财政2017年抚恤补助资金</t>
  </si>
  <si>
    <t xml:space="preserve">      提前下达市级财政2017年中华人民共和国成立前老党员生活补助资</t>
  </si>
  <si>
    <t xml:space="preserve">      2017年市级老党员生活补贴资金</t>
  </si>
  <si>
    <t xml:space="preserve">      2017年市级优抚对象抚恤补助资金</t>
  </si>
  <si>
    <t xml:space="preserve">      提前下达省级财政2017年自主就业退役士兵一次性</t>
  </si>
  <si>
    <t xml:space="preserve">      提前下达市级2017年自主退役士兵一次性经济补助</t>
  </si>
  <si>
    <t xml:space="preserve">      2017年市级自主退役士兵一次性经济补助资金</t>
  </si>
  <si>
    <t xml:space="preserve">      2017年退役士兵安置补助资金（第三批）</t>
  </si>
  <si>
    <t xml:space="preserve">      提前下达中央财政2017年退役士兵安置补助</t>
  </si>
  <si>
    <t xml:space="preserve">      2017年中央财政军队离休干部人员经费</t>
  </si>
  <si>
    <t xml:space="preserve">      2017年中央财政军队离休干部管理机构经费</t>
  </si>
  <si>
    <t xml:space="preserve">      提前下达中央财政2017年孤儿基本生活保障补助</t>
  </si>
  <si>
    <t xml:space="preserve">      提前下达2017年孤儿基本生活保障省级资金</t>
  </si>
  <si>
    <t xml:space="preserve">      2017年省级财政孤儿生活补助资金</t>
  </si>
  <si>
    <t xml:space="preserve">      提前下达市级财政2017年孤儿基本生活保障补助</t>
  </si>
  <si>
    <t xml:space="preserve">      2017年市级配套孤儿生活补助</t>
  </si>
  <si>
    <t xml:space="preserve">      2017年省级补助社会养老服务体系建设经费</t>
  </si>
  <si>
    <t xml:space="preserve">      2017年社会服务兜底工程中央基建投资预算</t>
  </si>
  <si>
    <t xml:space="preserve">      提前下达中央财政2017年残疾人事业补助资金</t>
  </si>
  <si>
    <t xml:space="preserve">      提前下达2017年省级财政康复经费</t>
  </si>
  <si>
    <t xml:space="preserve">      2017年中央财政残疾人康复补助</t>
  </si>
  <si>
    <t xml:space="preserve">      提前下达中央财政2017年农村贫困残疾人实用技术</t>
  </si>
  <si>
    <t xml:space="preserve">      2017年中央财政残疾人事业发展补助资金</t>
  </si>
  <si>
    <t xml:space="preserve">      提前下达2017年省级财政重度残疾人护理补贴</t>
  </si>
  <si>
    <t xml:space="preserve">      2017年省级财政重度残疾人护理补贴</t>
  </si>
  <si>
    <t xml:space="preserve">      提前下达省级财政2017年困难残疾人生活补贴</t>
  </si>
  <si>
    <t xml:space="preserve">      提前下达中央财政2017年智力精神和重度肢体残疾</t>
  </si>
  <si>
    <t xml:space="preserve">      提前下达中央财政2017年青壮年扫盲培训补助</t>
  </si>
  <si>
    <t xml:space="preserve">      提前下达2017年省级财政农村基层党组织助残扶贫</t>
  </si>
  <si>
    <t xml:space="preserve">      提前下达省级财政2017年农村贫困残疾人实用技术</t>
  </si>
  <si>
    <t xml:space="preserve">      2017年省级财政困难群众生活救助补贴资金（第三</t>
  </si>
  <si>
    <t xml:space="preserve">      2017年中央自然灾害生活补助资金</t>
  </si>
  <si>
    <t xml:space="preserve">      2017年省级自然灾害生活补助资金</t>
  </si>
  <si>
    <t xml:space="preserve">      2017年市级自然灾害生活补助资金</t>
  </si>
  <si>
    <t xml:space="preserve">      提前下达2017年流浪乞讨人员救助中央资金</t>
  </si>
  <si>
    <t xml:space="preserve">      2017年市级农村五保户供养补助资金</t>
  </si>
  <si>
    <t xml:space="preserve">      提前下达中央财政2017年困难群众生活救助补助</t>
  </si>
  <si>
    <t xml:space="preserve">      提前下达2017年困难群众生活救助省级资金</t>
  </si>
  <si>
    <t xml:space="preserve">      2017年中央困难群众生活救助补助资金</t>
  </si>
  <si>
    <t xml:space="preserve">      2017年省级困难群众生活救助补助资金</t>
  </si>
  <si>
    <t xml:space="preserve">      提前下达市级财政2017年困难群众生活救助补助资</t>
  </si>
  <si>
    <t xml:space="preserve">      2017年市级困难群众生活救助补助资金</t>
  </si>
  <si>
    <t xml:space="preserve">      市直国有企业中华人民共和国成立前参加工作退休老工人津补贴、</t>
  </si>
  <si>
    <t>七、医疗卫生与计划生育支出</t>
  </si>
  <si>
    <t xml:space="preserve">      提前下达中央财政2017年公立医院改革补助</t>
  </si>
  <si>
    <t xml:space="preserve">      2017年中央财政公立医院改革补助资金（第二批）</t>
  </si>
  <si>
    <t xml:space="preserve">      2017年省级财政支持基层医疗卫生体制改革专项补</t>
  </si>
  <si>
    <t xml:space="preserve">      2017年市级村卫生室运行费用</t>
  </si>
  <si>
    <t xml:space="preserve">      提前下达中央补财政2017年基本公共卫生服务补助</t>
  </si>
  <si>
    <t xml:space="preserve">      提前下达2017年基本公共卫生服务省级补助</t>
  </si>
  <si>
    <t xml:space="preserve">      2017年中央公共卫生服务补助</t>
  </si>
  <si>
    <t xml:space="preserve">      2017年省级基本公共卫生服务补助（第二批）</t>
  </si>
  <si>
    <t xml:space="preserve">      提前下达市级财政2017年基本公共卫生服务补助</t>
  </si>
  <si>
    <t xml:space="preserve">      2017年中央基本公共卫生服务补助资金</t>
  </si>
  <si>
    <t xml:space="preserve">      2017年市级基本公共卫生服务补助资金</t>
  </si>
  <si>
    <t xml:space="preserve">      提前下达省级财政2017年重大公共卫生服务两癌检</t>
  </si>
  <si>
    <t xml:space="preserve">      提前下达中央财政2017年重大公共卫生服务补助</t>
  </si>
  <si>
    <t xml:space="preserve">      提前下达中央财政2017年重大公共卫生食品安全补</t>
  </si>
  <si>
    <t xml:space="preserve">      提前下达中央财政2017年支持重大公共卫生服务计</t>
  </si>
  <si>
    <t xml:space="preserve">      提前下达省级财政2017年支持重大公共卫生服务补</t>
  </si>
  <si>
    <t xml:space="preserve">      提前下达2017年中央支持重大公共卫生服务补助（</t>
  </si>
  <si>
    <t xml:space="preserve">      2017年中央支持重大公共卫生服务项目补助资金</t>
  </si>
  <si>
    <t xml:space="preserve">      2017年中央支持重大公共卫生服务补助资金</t>
  </si>
  <si>
    <t xml:space="preserve">      提前下达中央财政2017年支持重大公共卫生服务补</t>
  </si>
  <si>
    <t xml:space="preserve">      2017年中央财政重大公共卫生服务补助（二）</t>
  </si>
  <si>
    <t xml:space="preserve">      2017年中央支持重大公共卫生项目补助资金</t>
  </si>
  <si>
    <t xml:space="preserve">      2017年省级补助城乡怀孕妇女免费产前筛查与产前</t>
  </si>
  <si>
    <t xml:space="preserve">      提前下达中央财政2017年中医药部门公共卫生补助</t>
  </si>
  <si>
    <t xml:space="preserve">      提前下达2017年中医药部门公共卫生省级资金</t>
  </si>
  <si>
    <t xml:space="preserve">      2017年中央财政计划生育服务补助资金</t>
  </si>
  <si>
    <t xml:space="preserve">      提前下达市级财政2017年避孕节育免费专项补助</t>
  </si>
  <si>
    <t xml:space="preserve">      提前下达中央财政2017年计划生育补助</t>
  </si>
  <si>
    <t xml:space="preserve">      提前下达2017年计划生育补助省级资金</t>
  </si>
  <si>
    <t xml:space="preserve">      提前下达中央财政2017年计划生育服务国家两项补</t>
  </si>
  <si>
    <t xml:space="preserve">      提前下达省级财政2017年计划生育服务国家两项补</t>
  </si>
  <si>
    <t xml:space="preserve">      提前下达省级财政2017年计划生育服务补助</t>
  </si>
  <si>
    <t xml:space="preserve">      2017年省级人口计划生育目标责任制开合兑现奖</t>
  </si>
  <si>
    <t xml:space="preserve">      提前下达市级财政2017年村级计生服务员报酬补助</t>
  </si>
  <si>
    <t xml:space="preserve">      提前下达市级财政2017年计划生育家庭奖励扶助资</t>
  </si>
  <si>
    <t xml:space="preserve">      2017年市级村级计生员报酬补助资金</t>
  </si>
  <si>
    <t xml:space="preserve">      2017年市级计划生育家庭奖励扶助资金</t>
  </si>
  <si>
    <t xml:space="preserve">      2017年市级生育关怀等市级计生专项经费</t>
  </si>
  <si>
    <t xml:space="preserve">      食品安全城市创建奖补经费</t>
  </si>
  <si>
    <t xml:space="preserve">      药监系统县级食品快速检验车配备项目中央基建</t>
  </si>
  <si>
    <t xml:space="preserve">      提前下达2017年中央财政食品药品安全监管补助</t>
  </si>
  <si>
    <t xml:space="preserve">      提前下达中央财政2017年公共卫生食品药品安全监</t>
  </si>
  <si>
    <t xml:space="preserve">      央财政2017年城乡医疗救助补助</t>
  </si>
  <si>
    <t xml:space="preserve">      城乡医疗救助省级补助</t>
  </si>
  <si>
    <t xml:space="preserve">      2017年中央财政城乡医疗救助补助资金</t>
  </si>
  <si>
    <t xml:space="preserve">      2017年省级城乡医疗救助补助资金</t>
  </si>
  <si>
    <t xml:space="preserve">      提前下达市级财政2017年城乡医疗救助补助</t>
  </si>
  <si>
    <t xml:space="preserve">      2017年市级城乡医疗救助补助资金</t>
  </si>
  <si>
    <t xml:space="preserve">      提前下达中央财政2017年优抚对象医疗补助资金</t>
  </si>
  <si>
    <t xml:space="preserve">      优抚对象医疗补助省级资金</t>
  </si>
  <si>
    <t xml:space="preserve">      2017年优抚对象医疗补助资金</t>
  </si>
  <si>
    <t xml:space="preserve">      2017年省级财政优抚对象医疗补助</t>
  </si>
  <si>
    <t xml:space="preserve">      提前下达中央财政2017年基本药物制度专项资金</t>
  </si>
  <si>
    <t xml:space="preserve">      提前下达市级财政2017年基本药物制度专项资金</t>
  </si>
  <si>
    <t xml:space="preserve">      2017年市级基本药物制度专项补助</t>
  </si>
  <si>
    <t>八、节能环保支出</t>
  </si>
  <si>
    <t xml:space="preserve">      中央资金下达2017年第二批中央大气污染防治专项</t>
  </si>
  <si>
    <t xml:space="preserve">      中央资金下达2017年中央和省级土壤污染防治专项</t>
  </si>
  <si>
    <t xml:space="preserve">      中央资金下达2017年中央农村环境整治资金</t>
  </si>
  <si>
    <t xml:space="preserve">      提前下达2017年中央财政林业生态保护恢复资金（</t>
  </si>
  <si>
    <t xml:space="preserve">      第二批林业生态保护恢复资金</t>
  </si>
  <si>
    <t xml:space="preserve">      天然林资源保护二期工程中央基建</t>
  </si>
  <si>
    <t xml:space="preserve">      2017年退耕还林还草工程中央基建投资预算</t>
  </si>
  <si>
    <t xml:space="preserve">      2017年清洁发展委托贷款贴息省级资金</t>
  </si>
  <si>
    <t xml:space="preserve">      第二批清洁发展委托贷款贴息资金</t>
  </si>
  <si>
    <t xml:space="preserve">      中央资金下达既有居住建筑节能改造中央财政补助</t>
  </si>
  <si>
    <t xml:space="preserve">      市级资金下达2017年省控污染源自动监控运行维护</t>
  </si>
  <si>
    <t xml:space="preserve">      市级资金下达2017年冬季清洁取暖市级补助资金</t>
  </si>
  <si>
    <t>九、城乡社区支出</t>
  </si>
  <si>
    <t xml:space="preserve">      省级资金下达2017年住房城乡建设规划及以奖代补</t>
  </si>
  <si>
    <t xml:space="preserve">      2017年乡村清洁工程市级配套补助资金</t>
  </si>
  <si>
    <t>十、农林水支出</t>
  </si>
  <si>
    <t xml:space="preserve">      提前下达2017年省级农业第二批专项转移支付</t>
  </si>
  <si>
    <t xml:space="preserve">      农业生产发展资金</t>
  </si>
  <si>
    <t xml:space="preserve">      设施农业出口基地建设</t>
  </si>
  <si>
    <t xml:space="preserve">      新型职业农民培育</t>
  </si>
  <si>
    <t xml:space="preserve">      中央财政动物防疫补助</t>
  </si>
  <si>
    <t xml:space="preserve">      动物防疫省级配套经费</t>
  </si>
  <si>
    <t xml:space="preserve">      农业生产救灾资金</t>
  </si>
  <si>
    <t xml:space="preserve">      农作物病虫害监测</t>
  </si>
  <si>
    <t xml:space="preserve">      中央财政农业生产救灾资金</t>
  </si>
  <si>
    <t xml:space="preserve">      屠宰环节病害猪无害化处理资金</t>
  </si>
  <si>
    <t xml:space="preserve">      农村土地确权登记颁证市级补助</t>
  </si>
  <si>
    <t xml:space="preserve">      全国第三次农业普查经费—“两员”补助</t>
  </si>
  <si>
    <t xml:space="preserve">      农业支持保护补贴——中央资金</t>
  </si>
  <si>
    <t xml:space="preserve">      第一批农业支持保护补贴（省级资金）</t>
  </si>
  <si>
    <t xml:space="preserve">      中央财政农机购置补贴</t>
  </si>
  <si>
    <t xml:space="preserve">      第二批农业支持保护补贴中央资金</t>
  </si>
  <si>
    <t xml:space="preserve">      调整吕财农（2017）10号、21号下达的农业支持保</t>
  </si>
  <si>
    <t xml:space="preserve">      易地移民搬迁村土地流转奖补</t>
  </si>
  <si>
    <t xml:space="preserve">      提前下达2017年省级农业第一批专项转移支付</t>
  </si>
  <si>
    <t xml:space="preserve">      农民合作社及家庭农场奖补</t>
  </si>
  <si>
    <t xml:space="preserve">      畜禽粪污整治资金</t>
  </si>
  <si>
    <t xml:space="preserve">      农民合作社示范项目</t>
  </si>
  <si>
    <t xml:space="preserve">      地理标志农产品体系建设</t>
  </si>
  <si>
    <t xml:space="preserve">      农村集体三资管理规划建设</t>
  </si>
  <si>
    <t xml:space="preserve">      农业产业龙头企业贷款贴息</t>
  </si>
  <si>
    <t xml:space="preserve">      特色农业产业扶贫项目资金</t>
  </si>
  <si>
    <t xml:space="preserve">      农产品电商补助资金</t>
  </si>
  <si>
    <t xml:space="preserve">      农民专业合作社市级补助</t>
  </si>
  <si>
    <t xml:space="preserve">      第二批特色农业产业种植、养殖补助</t>
  </si>
  <si>
    <t xml:space="preserve">      农业产业扶贫生猪无害化处理</t>
  </si>
  <si>
    <t xml:space="preserve">      特色农业产业扶贫资金</t>
  </si>
  <si>
    <t xml:space="preserve">      强农惠农富农政策补贴</t>
  </si>
  <si>
    <t xml:space="preserve">      专项资金</t>
  </si>
  <si>
    <t xml:space="preserve">      特色农产业扶贫资金</t>
  </si>
  <si>
    <t xml:space="preserve">      农业资源及生态保护补助</t>
  </si>
  <si>
    <t xml:space="preserve">      下达大学生村官干部生活补助经费</t>
  </si>
  <si>
    <t xml:space="preserve">      农村集体产权制度改革试点补助</t>
  </si>
  <si>
    <t xml:space="preserve">      提前下达2017年省级农机第一批专项转移支付</t>
  </si>
  <si>
    <t xml:space="preserve">      农村土地经营权确权登记颁证中央补助</t>
  </si>
  <si>
    <t xml:space="preserve">      2017年农村土地承包经营权确权登记资金</t>
  </si>
  <si>
    <t xml:space="preserve">      提前下达2017年省级林业第一批专项转移支付</t>
  </si>
  <si>
    <t xml:space="preserve">      提前下达2017年省级林业第二批专项转移支付</t>
  </si>
  <si>
    <t xml:space="preserve">      第二批林业改革发展中央资金</t>
  </si>
  <si>
    <t xml:space="preserve">      中央财政林业改革发展资金</t>
  </si>
  <si>
    <t xml:space="preserve">      提前下达2017年省级双保管护工程林业防灾减灾</t>
  </si>
  <si>
    <t xml:space="preserve">      2017年重点防护林工程中央基建投资预算</t>
  </si>
  <si>
    <t xml:space="preserve">      2017年草原防火等项目中央基建投资预算</t>
  </si>
  <si>
    <t xml:space="preserve">      第四批中央水利发展资金</t>
  </si>
  <si>
    <t xml:space="preserve">      第一批水利专项转移支付</t>
  </si>
  <si>
    <t xml:space="preserve">      省级第一批水利专项转移支付资金</t>
  </si>
  <si>
    <t xml:space="preserve">      防汛抗旱补助</t>
  </si>
  <si>
    <t xml:space="preserve">      第一批特大防汛抗旱补助</t>
  </si>
  <si>
    <t xml:space="preserve">      第二批中央特大防汛抗旱补助</t>
  </si>
  <si>
    <t xml:space="preserve">      农村饮水安全债券资金</t>
  </si>
  <si>
    <t xml:space="preserve">      特色农业产业扶贫项目</t>
  </si>
  <si>
    <t xml:space="preserve">      易地扶贫搬迁集中安置点后续产业补助</t>
  </si>
  <si>
    <t xml:space="preserve">      新一轮退耕还林省级补助</t>
  </si>
  <si>
    <t xml:space="preserve">      下乡扶贫点补助资金</t>
  </si>
  <si>
    <t xml:space="preserve">      农村贫困劳动力免费职业培训补助</t>
  </si>
  <si>
    <t xml:space="preserve">      非贫困县农业综合开发中央补助</t>
  </si>
  <si>
    <t xml:space="preserve">      非贫困县农业综合开发土地治理项目省级补助</t>
  </si>
  <si>
    <t xml:space="preserve">      2017年农业综合开发土地治理和产业化项目市级配</t>
  </si>
  <si>
    <t xml:space="preserve">      收回部门终止项目财政资金</t>
  </si>
  <si>
    <t xml:space="preserve">      综合开发产业化中央补助</t>
  </si>
  <si>
    <t xml:space="preserve">      国家综合开发产业化发展项目省级补助</t>
  </si>
  <si>
    <t xml:space="preserve">      省级资金2017年农村危房改造</t>
  </si>
  <si>
    <t xml:space="preserve">      省级交通专项资金</t>
  </si>
  <si>
    <t xml:space="preserve">      清算2015年普惠金融发展中央专项资金</t>
  </si>
  <si>
    <t xml:space="preserve">      清算2015年普惠金融发展省级专项资金</t>
  </si>
  <si>
    <t xml:space="preserve">      提前下达2017年农业保险保费补贴中央资金</t>
  </si>
  <si>
    <t xml:space="preserve">      提前下达2017年农业保险保费补贴省级资金</t>
  </si>
  <si>
    <t xml:space="preserve">      清算拨付2017年度农业保险市级资金</t>
  </si>
  <si>
    <t xml:space="preserve">      清算拨付2017年度政策性农业保险保费补贴省级和</t>
  </si>
  <si>
    <t>十一、交通运输支出</t>
  </si>
  <si>
    <t xml:space="preserve">      2017年交通建设项目资金第四批支出预算</t>
  </si>
  <si>
    <t xml:space="preserve">      2017年交通建设项目资金（第一批）省级</t>
  </si>
  <si>
    <t xml:space="preserve">      城市公交车成品油价格中央补助</t>
  </si>
  <si>
    <t xml:space="preserve">      2017年第一批城市公交车成品油价格补助资金支出</t>
  </si>
  <si>
    <t xml:space="preserve">      2017年车辆购置税用于一般公路建设支出中央预算</t>
  </si>
  <si>
    <t>十二、资源勘探信息等支出</t>
  </si>
  <si>
    <t xml:space="preserve">      2017年山西省技术改造项目资金第七批</t>
  </si>
  <si>
    <t xml:space="preserve">      技术改造项目资金第二批</t>
  </si>
  <si>
    <t xml:space="preserve">      2016年全市安全生产目标责任考核奖励资金</t>
  </si>
  <si>
    <t xml:space="preserve">      2017年中小企业发展中央专项资金预算</t>
  </si>
  <si>
    <t xml:space="preserve">      2017年中小企业发展专项资金预算</t>
  </si>
  <si>
    <t xml:space="preserve">      中小微企业品牌建设资金省级预算</t>
  </si>
  <si>
    <t xml:space="preserve">      2017年中小企业“专精特新”项目省级专项资金预</t>
  </si>
  <si>
    <t xml:space="preserve">      中小企业发展专项资金预算省级资金</t>
  </si>
  <si>
    <t xml:space="preserve">      中小微企业“3个1”培训资金</t>
  </si>
  <si>
    <t xml:space="preserve">      下达2017年中小微企业发展专项资金（第二批）</t>
  </si>
  <si>
    <t xml:space="preserve">      下达2016年精准扶贫市级奖补资金</t>
  </si>
  <si>
    <t xml:space="preserve">      2017年中小微企业发展专项资金（第一批）</t>
  </si>
  <si>
    <t>十三、商业服务业等支出</t>
  </si>
  <si>
    <t xml:space="preserve">      中央资金下达中央2017年外经贸发展（外贸转型升</t>
  </si>
  <si>
    <t xml:space="preserve">      中央资金2017年外经贸发展省级专项资金（提升国</t>
  </si>
  <si>
    <t xml:space="preserve">      旅游厕所建设省级补助</t>
  </si>
  <si>
    <t xml:space="preserve">      2017年国家服务业发展引导资金中央基建投资预算</t>
  </si>
  <si>
    <t>十四、金融支出</t>
  </si>
  <si>
    <t xml:space="preserve">      拨付2017年度第四批省级PPP示范项目奖补资金</t>
  </si>
  <si>
    <t>十五、国土海洋气象等支出</t>
  </si>
  <si>
    <t xml:space="preserve">      省级资金-2017年第一批省级高标准农田建设资金</t>
  </si>
  <si>
    <t xml:space="preserve">      中央资金下达2017年中央土地整治工作专项资金</t>
  </si>
  <si>
    <t xml:space="preserve">      省级资金提前下达2017年农村地质灾害治理搬迁省</t>
  </si>
  <si>
    <t xml:space="preserve">      市级资金下达2017年农村地质灾害治理搬迁市级补</t>
  </si>
  <si>
    <t xml:space="preserve">      省级资金-2017年第十二批采矿权风险抵押化解补</t>
  </si>
  <si>
    <t xml:space="preserve">      中央资金下达采煤沉陷区综合治理专项工作经费</t>
  </si>
  <si>
    <t xml:space="preserve">      中央资金下达2017年山西省采煤沉陷区综合治理土</t>
  </si>
  <si>
    <t xml:space="preserve">      省级资金下达2017年山西省采煤沉陷区综合治理土</t>
  </si>
  <si>
    <t xml:space="preserve">      省级资金下达矿山生态环境恢复治理试点示范工程</t>
  </si>
  <si>
    <t xml:space="preserve">      山西省采煤沉陷区综合治理搬迁安置项目省级补助</t>
  </si>
  <si>
    <t>十六、住房保障支出</t>
  </si>
  <si>
    <t xml:space="preserve">      2017年省级城市棚户区改造资金</t>
  </si>
  <si>
    <t xml:space="preserve">      中央资金提前下达2017年农村危房改造中央补助资</t>
  </si>
  <si>
    <t xml:space="preserve">      中央资金2017年农村危房改造</t>
  </si>
  <si>
    <t xml:space="preserve">      市级资金下达2017年农村危房改造市级补助资金</t>
  </si>
  <si>
    <t xml:space="preserve">      乡镇干部周转房建设补助资金的通知</t>
  </si>
  <si>
    <t xml:space="preserve">      下达2017年中央财政公租房及其配套设施专项补助</t>
  </si>
  <si>
    <t xml:space="preserve">      2017年国有工矿棚户区改造和第二批保障性安居工</t>
  </si>
  <si>
    <t xml:space="preserve">      保障性安居工程配套基础设施建设（第一批）中央</t>
  </si>
  <si>
    <t xml:space="preserve">      中央财政保障性安居工程专线资金</t>
  </si>
  <si>
    <t xml:space="preserve">      2017年中央财政保障性安居工程专项</t>
  </si>
  <si>
    <t>十七、其它支出</t>
  </si>
  <si>
    <t xml:space="preserve">      2017年财政预算内基本建设等支出预算</t>
  </si>
  <si>
    <t xml:space="preserve">      调整预算指标</t>
  </si>
  <si>
    <t xml:space="preserve">      乡镇干部培训奖补资金——省级</t>
  </si>
  <si>
    <t xml:space="preserve">      目标责任制考核奖励</t>
  </si>
  <si>
    <t>一般公共预算合计</t>
  </si>
  <si>
    <t xml:space="preserve">      17年中央补助地方国家电影事业发展专项资金</t>
  </si>
  <si>
    <t xml:space="preserve">      17年度第二批国家电影事业发展专项资金省级资助</t>
  </si>
  <si>
    <t xml:space="preserve">      17年度第一批国家电影事业发展专项省级资助奖励</t>
  </si>
  <si>
    <t xml:space="preserve">      提前下达2017年大中型水库移民后期扶持资金（中</t>
  </si>
  <si>
    <t xml:space="preserve">      提前下达2017年中央水库移民扶持基金（中央）</t>
  </si>
  <si>
    <t>三、商业服务业等支出</t>
  </si>
  <si>
    <t xml:space="preserve">      国家旅游发展基金补助景区厕所建设资金</t>
  </si>
  <si>
    <t>四、其他支出</t>
  </si>
  <si>
    <t xml:space="preserve">      省级资金下达2017年第一批冬季清洁取暖省级奖补</t>
  </si>
  <si>
    <t xml:space="preserve">      提前下达市级财政2017年贫困残疾人生活补助</t>
  </si>
  <si>
    <t xml:space="preserve">      提前下达市级财政2017年重度残疾人护理补贴</t>
  </si>
  <si>
    <t xml:space="preserve">      关于提前下达2017年1-9月彩票公益金的通知</t>
  </si>
  <si>
    <t xml:space="preserve">      市本级助残公益金</t>
  </si>
  <si>
    <t xml:space="preserve">      山西省财政厅关于下达2017年10-12月彩票公益金</t>
  </si>
  <si>
    <t xml:space="preserve">      下达县级彩票公益金指标</t>
  </si>
  <si>
    <t xml:space="preserve">      下达2017年度贫困残疾人生活补贴资金（第二次）</t>
  </si>
  <si>
    <t xml:space="preserve">      下达市级福利彩票公益金指标的通知</t>
  </si>
  <si>
    <t xml:space="preserve">      关于下达2017年省级体育彩票公益金支出预算的通</t>
  </si>
  <si>
    <t xml:space="preserve">      省级财政统筹体育彩票公益金支出预算的通知</t>
  </si>
  <si>
    <t xml:space="preserve">      关于清算拨付2016年度体育彩票公益金的通知</t>
  </si>
  <si>
    <t xml:space="preserve">      中央专项彩票公益金支持乡村学校少年宫项目补助</t>
  </si>
  <si>
    <t xml:space="preserve">      2017年中央彩票公益金残疾人事业发展补助资金</t>
  </si>
  <si>
    <t xml:space="preserve">      省级补助残疾人事业项目彩票公益金</t>
  </si>
  <si>
    <t xml:space="preserve">      吕梁市财政局关于下达第二批补助残疾人事业项目</t>
  </si>
  <si>
    <t xml:space="preserve">      2017年中央彩票公益金城乡医疗救助资金</t>
  </si>
  <si>
    <t>政府性基金合计</t>
  </si>
  <si>
    <t>孝义市二○一七年一般性转移支付项目情况表</t>
  </si>
  <si>
    <t>表十一</t>
  </si>
  <si>
    <t>一、均衡性转移支付支出</t>
  </si>
  <si>
    <t xml:space="preserve">   省级对市县调整工资补助</t>
  </si>
  <si>
    <t xml:space="preserve">   省对市县均衡性转移支付</t>
  </si>
  <si>
    <t xml:space="preserve">   社区事务——省级</t>
  </si>
  <si>
    <t xml:space="preserve">   提前下达2017年省对县级财政均衡性转移支付</t>
  </si>
  <si>
    <t xml:space="preserve">   提高社区事务省级补助</t>
  </si>
  <si>
    <t xml:space="preserve">   乡镇工作补贴</t>
  </si>
  <si>
    <t xml:space="preserve">   农业转移人口市民化奖励资金</t>
  </si>
  <si>
    <t xml:space="preserve">   下达煤改电煤改气补助</t>
  </si>
  <si>
    <t>二、县级基本财力保障机制奖补资金支出</t>
  </si>
  <si>
    <t xml:space="preserve">   基本财力保障中央补助</t>
  </si>
  <si>
    <t xml:space="preserve">   基本财力保障省级补助</t>
  </si>
  <si>
    <t xml:space="preserve">   县级基本财力保障机制奖补</t>
  </si>
  <si>
    <t>三、结算补助支出</t>
  </si>
  <si>
    <t xml:space="preserve">   中央资金下达2017年第三批矿山地质环境治理和土地复垦</t>
  </si>
  <si>
    <t xml:space="preserve">   省级资金下达2017年第三批矿山地质环境治理和土地复垦</t>
  </si>
  <si>
    <t xml:space="preserve">   关于提前下达2017年文物看护人员经费的通知</t>
  </si>
  <si>
    <t xml:space="preserve">   关于提前下达2017年中央大型体育场馆免费低收费</t>
  </si>
  <si>
    <t xml:space="preserve">   提前下达2017年美术馆、公共图书馆、文化馆免费</t>
  </si>
  <si>
    <t xml:space="preserve">   关于提前下达17年博物馆纪念馆免费开放中央资金</t>
  </si>
  <si>
    <t xml:space="preserve">   2017年中央补助全国第二次全国地名普查资金</t>
  </si>
  <si>
    <t xml:space="preserve">   到村任职高校毕业生中央财政补助</t>
  </si>
  <si>
    <t xml:space="preserve">   收回2015年度到村任职高校毕业生中央财政补助结</t>
  </si>
  <si>
    <t xml:space="preserve">   收回2016年度到村任职高校毕业生中央财政补助结</t>
  </si>
  <si>
    <t xml:space="preserve">   定额结算（不含工商质监下划）</t>
  </si>
  <si>
    <t xml:space="preserve">   省级对乡镇机关食堂补助</t>
  </si>
  <si>
    <t xml:space="preserve">   下达2017年省对市煤炭资源税补助（上解）额</t>
  </si>
  <si>
    <t xml:space="preserve">   关于兑现2017年市县一般公共预算支出进度考核奖</t>
  </si>
  <si>
    <t xml:space="preserve">   预拨全省省级2017年低收入农户冬季取暖用煤货币</t>
  </si>
  <si>
    <t xml:space="preserve">   调整核减吕财农【2016】126号</t>
  </si>
  <si>
    <t xml:space="preserve">   国有企业职教幼教退休教师省级补助资金基数</t>
  </si>
  <si>
    <t xml:space="preserve">   国有企业职教幼教退休教师生活补贴中央补助资金</t>
  </si>
  <si>
    <t xml:space="preserve">   下达国有企业职教幼教退休教师生活补贴中央追加</t>
  </si>
  <si>
    <t xml:space="preserve">   提前下达中央财政2017年解决部分企业军转干部生</t>
  </si>
  <si>
    <t xml:space="preserve">   企业所得税税源和产品竞争力调查省级补助</t>
  </si>
  <si>
    <t xml:space="preserve">   关于提前下达2017年古建筑日常养护省级经费的通</t>
  </si>
  <si>
    <t xml:space="preserve">   调整三税手续费</t>
  </si>
  <si>
    <t xml:space="preserve">   关于拨付财政票据电子化改革工作经费的通知</t>
  </si>
  <si>
    <t>四、企业事业单位划转补助支出</t>
  </si>
  <si>
    <t xml:space="preserve">   省属国有重点煤炭企业办社会职能经费基数</t>
  </si>
  <si>
    <t>五、成品油税费改革转移支付补助支出</t>
  </si>
  <si>
    <t xml:space="preserve">   2017年增长性补助资金支出预算</t>
  </si>
  <si>
    <t>六、基层公检法司转移支付支出</t>
  </si>
  <si>
    <t xml:space="preserve">   提前下达2017年中央政法转移支付资金</t>
  </si>
  <si>
    <t xml:space="preserve">   省级政法转移经费</t>
  </si>
  <si>
    <t xml:space="preserve">   2017年中央政法转移支付司法共建项目经费—社区</t>
  </si>
  <si>
    <t xml:space="preserve">   全省司法行政系统社区矫正补助经费</t>
  </si>
  <si>
    <t xml:space="preserve">   全省司法行政系统人民调解补助经费</t>
  </si>
  <si>
    <t xml:space="preserve">   2017年国家司法救助资金</t>
  </si>
  <si>
    <t xml:space="preserve">   2017年政法转移支付资金——办案</t>
  </si>
  <si>
    <t xml:space="preserve">   2017年政法转移支付资金——装备</t>
  </si>
  <si>
    <t xml:space="preserve">   2017年中央补助地方法律援助办案经费</t>
  </si>
  <si>
    <t>七、城乡义务教育转移支付支出</t>
  </si>
  <si>
    <t xml:space="preserve">   关于提前下达17年城乡义务教育（公用经费）中央</t>
  </si>
  <si>
    <t xml:space="preserve">   城乡义务教育（寄宿生生活费）中央资金</t>
  </si>
  <si>
    <t xml:space="preserve">   城乡义务教育省级补助公用经费</t>
  </si>
  <si>
    <t xml:space="preserve">   城乡义务教育省级补助寄宿生生活费</t>
  </si>
  <si>
    <t xml:space="preserve">   关于提前下达17年城乡义务教育（校舍维修改造）</t>
  </si>
  <si>
    <t xml:space="preserve">   关于提前下达2017年度省级原民办代课教师教龄补</t>
  </si>
  <si>
    <t xml:space="preserve">   17年城乡义务教育公用经费中央资金第二批</t>
  </si>
  <si>
    <t xml:space="preserve">   17年城乡义务教育寄宿生生活费中央资金第二批</t>
  </si>
  <si>
    <t xml:space="preserve">   17年城乡义务教育公用经费省级资金第二批</t>
  </si>
  <si>
    <t xml:space="preserve">   17年城乡义务教育寄宿生生活费省级资金第二批</t>
  </si>
  <si>
    <t xml:space="preserve">   关于下达2017年城乡义务教育（公用经费）省级资</t>
  </si>
  <si>
    <t xml:space="preserve">   关于下达2017年城乡义务教育（寄宿生生活费）省</t>
  </si>
  <si>
    <t xml:space="preserve">   关于提前下达17年教育、文化民生政策市级配套资</t>
  </si>
  <si>
    <t xml:space="preserve">   2017年城乡义务教育补助经费——寄宿生生活补助</t>
  </si>
  <si>
    <t xml:space="preserve">   2017年城乡义务教育补助经费——公用经费</t>
  </si>
  <si>
    <t xml:space="preserve">   2017年城乡义务教育公用经费市级配套资金</t>
  </si>
  <si>
    <t xml:space="preserve">   2017年城乡义务教育寄宿生生活费市级配套资金</t>
  </si>
  <si>
    <t>八、基本养老金转移支付支出</t>
  </si>
  <si>
    <t xml:space="preserve">   提前下达中央财政2017年城乡居民基本养老保险一</t>
  </si>
  <si>
    <t xml:space="preserve">   提前下达2017年城乡居民基本养老保险一般转移支</t>
  </si>
  <si>
    <t xml:space="preserve">   结算2016年中央财政城乡居民养老保险补助</t>
  </si>
  <si>
    <t xml:space="preserve">   提前下达市级财政2017年城乡居民养老保险补助</t>
  </si>
  <si>
    <t xml:space="preserve">   提前下达2017年中央财政补助机关事业单位养老保</t>
  </si>
  <si>
    <t xml:space="preserve">   2017年中央财政机关事业单位养老保险补助</t>
  </si>
  <si>
    <t xml:space="preserve">   2017年市级城乡居民养老保险补助</t>
  </si>
  <si>
    <t xml:space="preserve">   2016年中央机关事业养老一般转移支付资金</t>
  </si>
  <si>
    <t xml:space="preserve">   2017年中央机关事业单位养老保险一般转移支付补</t>
  </si>
  <si>
    <t xml:space="preserve">   2017年中央财政做实企业职工基本养老保险个人账</t>
  </si>
  <si>
    <t>九、农村综合改革转移支付支出</t>
  </si>
  <si>
    <t xml:space="preserve">   提前下达2017年建制镇示范试点中央资金的通知</t>
  </si>
  <si>
    <t xml:space="preserve">   提前下达2017年传统村落保护中央资金的通知</t>
  </si>
  <si>
    <t xml:space="preserve">   省级2017年乡村清洁工程补助资金</t>
  </si>
  <si>
    <t xml:space="preserve">   提前下达2017年一事一议中央资金</t>
  </si>
  <si>
    <t xml:space="preserve">   提前下达2017年一事一议省级资金</t>
  </si>
  <si>
    <t xml:space="preserve">   2017年度美丽乡村中央资金</t>
  </si>
  <si>
    <t xml:space="preserve">   美丽乡村建设省级资金</t>
  </si>
  <si>
    <t>十、产粮（油）大县奖励资金支出</t>
  </si>
  <si>
    <t xml:space="preserve">   中央资金下达2017年中央财政对产油大县奖励资金</t>
  </si>
  <si>
    <t>十一、固定数额补助支出</t>
  </si>
  <si>
    <t xml:space="preserve">   追加省质监局下划基数</t>
  </si>
  <si>
    <t xml:space="preserve">   市县工商系统下划基数</t>
  </si>
  <si>
    <t xml:space="preserve">   中央对地方审计专项补助经费-信息系统运行维护</t>
  </si>
  <si>
    <t xml:space="preserve">   2017年工商行政管理专项补助经费</t>
  </si>
  <si>
    <t xml:space="preserve">   农村教育绩效工资——省级</t>
  </si>
  <si>
    <t xml:space="preserve">   省对市县农村公共卫生绩效——省级</t>
  </si>
  <si>
    <t xml:space="preserve">   企事业单位划转补助</t>
  </si>
  <si>
    <t xml:space="preserve">   农村税费改革中央补助</t>
  </si>
  <si>
    <t xml:space="preserve">   农村税费改革省级补助</t>
  </si>
  <si>
    <t xml:space="preserve">   调减2017年中央资金固定数额补助</t>
  </si>
  <si>
    <t xml:space="preserve">   提高村级组织运转经费省级补助</t>
  </si>
  <si>
    <t xml:space="preserve">   2016年度农村客运、出租车行业油价补贴资金支出</t>
  </si>
  <si>
    <t xml:space="preserve">   中央财政补助基层行政单位工作经费</t>
  </si>
  <si>
    <t xml:space="preserve">   中央财政补助华侨事务预算</t>
  </si>
  <si>
    <t xml:space="preserve">   上划司法体制改革试点单位经费有关事项</t>
  </si>
  <si>
    <t>十二、贫困地区转移支付支出</t>
  </si>
  <si>
    <t xml:space="preserve">   扶贫发展省级补助</t>
  </si>
  <si>
    <t xml:space="preserve">   第二批财政专项扶贫资金</t>
  </si>
  <si>
    <t>十三、其他一般性转移支付支出</t>
  </si>
  <si>
    <t xml:space="preserve">   关于提前下达17年公办普通高中公用经费省级资金</t>
  </si>
  <si>
    <t xml:space="preserve">   关于下达2017年高中公用经费省级补助资金的通知</t>
  </si>
  <si>
    <t xml:space="preserve">   关于提前下达2017年度大学生村官培训省级经费的</t>
  </si>
  <si>
    <t>一般性转移支付合计</t>
  </si>
  <si>
    <t>孝义市二○一八年上半年一般公共预算收入完成情况表</t>
  </si>
  <si>
    <t>表十二</t>
  </si>
  <si>
    <t>2018年预算数</t>
  </si>
  <si>
    <t>2018年上半年完成数</t>
  </si>
  <si>
    <t>为年度预算</t>
  </si>
  <si>
    <t>比上年同期增减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</si>
  <si>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0、</t>
    </r>
    <r>
      <rPr>
        <sz val="12"/>
        <rFont val="宋体"/>
        <charset val="134"/>
      </rPr>
      <t>土地增值税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</si>
  <si>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车船税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</si>
  <si>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</si>
  <si>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契税</t>
    </r>
  </si>
  <si>
    <t>14、环境税</t>
  </si>
  <si>
    <t>2、行政事业性收费收入</t>
  </si>
  <si>
    <t>4、国有资本经营收入</t>
  </si>
  <si>
    <t>5、国有资源（资产）有偿使用收入</t>
  </si>
  <si>
    <t>7、政府住房基金收入</t>
  </si>
  <si>
    <t>8、其他收入</t>
  </si>
  <si>
    <t>一般公共预算收入合计</t>
  </si>
  <si>
    <t>孝义市二○一八年上半年一般公共预算支出执行情况表</t>
  </si>
  <si>
    <t>表十三</t>
  </si>
  <si>
    <t>2018年上半年执行数</t>
  </si>
  <si>
    <t>执行为年度预算</t>
  </si>
  <si>
    <t>比上年增减</t>
  </si>
  <si>
    <t>备  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</si>
  <si>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行政运行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</si>
  <si>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事业运行</t>
    </r>
  </si>
  <si>
    <t xml:space="preserve">      机关服务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</si>
  <si>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机关服务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</si>
  <si>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物价管理</t>
    </r>
  </si>
  <si>
    <t xml:space="preserve">      专项普查活动</t>
  </si>
  <si>
    <t xml:space="preserve">      其他人力资源事务支出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</si>
  <si>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大案要案查处</t>
    </r>
  </si>
  <si>
    <t xml:space="preserve">      其他工商行政管理事务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</si>
  <si>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其他工商行政管理事务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</si>
  <si>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行政运行</t>
    </r>
  </si>
  <si>
    <t xml:space="preserve">      标准化管理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</si>
  <si>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标准化管理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</si>
  <si>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其他宗教事务支出</t>
    </r>
  </si>
  <si>
    <t xml:space="preserve">      档案馆</t>
  </si>
  <si>
    <t xml:space="preserve">      其他群众团体事务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</si>
  <si>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其他群众团体事务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</si>
  <si>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事业运行</t>
    </r>
  </si>
  <si>
    <t xml:space="preserve">      其他组织事务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</si>
  <si>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其他组织事务</t>
    </r>
  </si>
  <si>
    <t xml:space="preserve">      其他宣传事务支出</t>
  </si>
  <si>
    <t xml:space="preserve">      其他一般公共服务支出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</si>
  <si>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其他一般公共服务支出</t>
    </r>
  </si>
  <si>
    <t>二、外交支出</t>
  </si>
  <si>
    <t>三、国防支出</t>
  </si>
  <si>
    <t xml:space="preserve">      其他国防支出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</si>
  <si>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其他国防支出</t>
    </r>
  </si>
  <si>
    <t>四、公共安全支出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</si>
  <si>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内卫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</si>
  <si>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消防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</si>
  <si>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一般行政管理事务</t>
    </r>
  </si>
  <si>
    <t xml:space="preserve">      禁毒管理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</si>
  <si>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禁毒管理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</si>
  <si>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道路交通管理</t>
    </r>
  </si>
  <si>
    <t xml:space="preserve">      拘押受教场所管理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</si>
  <si>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拘押受教场所管理</t>
    </r>
  </si>
  <si>
    <t xml:space="preserve">      其他公安支出</t>
  </si>
  <si>
    <t xml:space="preserve">      一般行政事务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</si>
  <si>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一般行政事务</t>
    </r>
  </si>
  <si>
    <t xml:space="preserve">      法律援助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</si>
  <si>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法律援助</t>
    </r>
  </si>
  <si>
    <t xml:space="preserve">      其他消防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</si>
  <si>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其他消防</t>
    </r>
  </si>
  <si>
    <t>五、教育支出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</si>
  <si>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学前教育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</si>
  <si>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小学教育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</si>
  <si>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初中教育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</si>
  <si>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高中教育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</si>
  <si>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其他普通教育支出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</si>
  <si>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职业高中教育</t>
    </r>
  </si>
  <si>
    <t xml:space="preserve">      其他职业教育支出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</si>
  <si>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其他职业教育支出</t>
    </r>
  </si>
  <si>
    <t xml:space="preserve">      其他成人教育支出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</si>
  <si>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其他成人教育支出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</si>
  <si>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广播电视学校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</si>
  <si>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特殊学校教育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</si>
  <si>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教师进修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</si>
  <si>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干部教育</t>
    </r>
  </si>
  <si>
    <t xml:space="preserve">      其他教育费附加安排的支出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</si>
  <si>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其他教育费附加安排的支出</t>
    </r>
  </si>
  <si>
    <t xml:space="preserve">      其他教育支出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</si>
  <si>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其他教育支出</t>
    </r>
  </si>
  <si>
    <t>六、科学技术支出</t>
  </si>
  <si>
    <t xml:space="preserve">      其他科学技术管理事务支出</t>
  </si>
  <si>
    <t xml:space="preserve">      产业技术研究与开发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</si>
  <si>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产业技术研究与开发</t>
    </r>
  </si>
  <si>
    <t xml:space="preserve">      其他技术研究与开发支出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</si>
  <si>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其他技术研究与开发支出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</si>
  <si>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其他科技条件与服务支出</t>
    </r>
  </si>
  <si>
    <t xml:space="preserve">      机构运行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</si>
  <si>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机构运行</t>
    </r>
  </si>
  <si>
    <t xml:space="preserve">      科普活动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</si>
  <si>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科普活动</t>
    </r>
  </si>
  <si>
    <t xml:space="preserve">      其他科学技术支出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</si>
  <si>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其他科学技术支出</t>
    </r>
  </si>
  <si>
    <t>七、文化体育与传媒支出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</si>
  <si>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图书馆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</si>
  <si>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艺术表演场所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</si>
  <si>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艺术表演团体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</si>
  <si>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群众文化</t>
    </r>
  </si>
  <si>
    <t xml:space="preserve">      文化创作与保护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</si>
  <si>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文化创作与保护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</si>
  <si>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文化市场管理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</si>
  <si>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其他文化支出</t>
    </r>
  </si>
  <si>
    <t xml:space="preserve">      文物保护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</si>
  <si>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文物保护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</si>
  <si>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博物馆</t>
    </r>
  </si>
  <si>
    <t xml:space="preserve">      其他文物支出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</si>
  <si>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其他文物支出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</si>
  <si>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体育场馆</t>
    </r>
  </si>
  <si>
    <t xml:space="preserve">      体育交流与合作</t>
  </si>
  <si>
    <t xml:space="preserve">      其他体育支出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</si>
  <si>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其他体育支出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</si>
  <si>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广播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</si>
  <si>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电视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</si>
  <si>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电影</t>
    </r>
  </si>
  <si>
    <t xml:space="preserve">      其他新闻出版广播影视支出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</si>
  <si>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其他新闻出版广播影视支出</t>
    </r>
  </si>
  <si>
    <t xml:space="preserve">      文化产业发展专项支出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</si>
  <si>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文化产业发展专项支出</t>
    </r>
  </si>
  <si>
    <t xml:space="preserve">      宣传文化发展专项支出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</si>
  <si>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宣传文化发展专项支出</t>
    </r>
  </si>
  <si>
    <t xml:space="preserve">      其他文化体育与传媒支出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</si>
  <si>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其他文化体育与传媒支出</t>
    </r>
  </si>
  <si>
    <t xml:space="preserve">      劳动保障监察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</si>
  <si>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劳动保障监察</t>
    </r>
  </si>
  <si>
    <t xml:space="preserve">      社会保险经办机构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</si>
  <si>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社会保险经办机构</t>
    </r>
  </si>
  <si>
    <t xml:space="preserve">      公共就业服务和职业技能鉴定机构</t>
  </si>
  <si>
    <t xml:space="preserve">      其他人力资源和社会保障管理事务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</si>
  <si>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其他人力资源和社会保障管理事务</t>
    </r>
  </si>
  <si>
    <t xml:space="preserve">      拥军优属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</si>
  <si>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拥军优属</t>
    </r>
  </si>
  <si>
    <t xml:space="preserve">      老龄事务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</si>
  <si>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老龄事务</t>
    </r>
  </si>
  <si>
    <t xml:space="preserve">     行政区划和地名管理</t>
  </si>
  <si>
    <t xml:space="preserve">      行政区划和地名管理</t>
  </si>
  <si>
    <t xml:space="preserve">      基层政权和社区建设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</si>
  <si>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基层政权和社区建设</t>
    </r>
  </si>
  <si>
    <t xml:space="preserve">      其他民政管理事务支出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</si>
  <si>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其他民政管理事务支出</t>
    </r>
  </si>
  <si>
    <t xml:space="preserve">    财政对社会保险基金的补助</t>
  </si>
  <si>
    <t xml:space="preserve">      财政对基本养老基金的补助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</si>
  <si>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财政对基本养老基金的补助</t>
    </r>
  </si>
  <si>
    <t xml:space="preserve">      财政对生育基金的补助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</si>
  <si>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财政对生育基金的补助</t>
    </r>
  </si>
  <si>
    <t xml:space="preserve">      财政对城乡居民养老基金的补助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</si>
  <si>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财政对城乡居民养老基金的补助</t>
    </r>
  </si>
  <si>
    <t xml:space="preserve">      财政对其他社会保险基金的补助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</si>
  <si>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财政对其他社会保险基金的补助</t>
    </r>
  </si>
  <si>
    <t xml:space="preserve">    行政事业单位离退休</t>
  </si>
  <si>
    <t xml:space="preserve">      归口管理的行政单位离退休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</si>
  <si>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归口管理的行政单位离退休</t>
    </r>
  </si>
  <si>
    <t xml:space="preserve">      事业单位离退休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</si>
  <si>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事业单位离退休</t>
    </r>
  </si>
  <si>
    <t xml:space="preserve">      离退休人员管理机构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</si>
  <si>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离退休人员管理机构</t>
    </r>
  </si>
  <si>
    <t xml:space="preserve">      未归口管理的行政单位离退休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</si>
  <si>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未归口管理的行政单位离退休</t>
    </r>
  </si>
  <si>
    <t xml:space="preserve">      机关事业单位基本养老保险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</si>
  <si>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机关事业单位基本养老保险</t>
    </r>
  </si>
  <si>
    <t xml:space="preserve">      机关事业单位职业年金缴费支出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</si>
  <si>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机关事业单位职业年金缴费支出</t>
    </r>
  </si>
  <si>
    <t xml:space="preserve">      对机关事业单位基本养老保险基金的补助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</si>
  <si>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对机关事业单位基本养老保险基金的补助</t>
    </r>
  </si>
  <si>
    <t xml:space="preserve">      其他行政事业单位离退休支出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</si>
  <si>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其他行政事业单位离退休支出</t>
    </r>
  </si>
  <si>
    <t xml:space="preserve">      社会保险补贴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</si>
  <si>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社会保险补贴</t>
    </r>
  </si>
  <si>
    <t xml:space="preserve">      其他就业补助支出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</si>
  <si>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其他就业补助支出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</si>
  <si>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义务兵优待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</si>
  <si>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其他优抚支出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</si>
  <si>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退役士兵安置</t>
    </r>
  </si>
  <si>
    <t xml:space="preserve">      军队移交政府的离退休人员安置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</si>
  <si>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军队移交政府的离退休人员安置</t>
    </r>
  </si>
  <si>
    <t xml:space="preserve">      军队移交政府的离退休干部管理机构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</si>
  <si>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军队移交政府的离退休干部管理机构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</si>
  <si>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其他退役安置支出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</si>
  <si>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儿童福利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</si>
  <si>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老年福利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</si>
  <si>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殡葬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</si>
  <si>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社会福利事业单位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</si>
  <si>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其他社会福利支出</t>
    </r>
  </si>
  <si>
    <t xml:space="preserve">      残疾人康复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</si>
  <si>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残疾人康复</t>
    </r>
  </si>
  <si>
    <t xml:space="preserve">      残疾人就业和扶贫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</si>
  <si>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残疾人就业和扶贫</t>
    </r>
  </si>
  <si>
    <t xml:space="preserve">      残疾人生活和护理补贴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</si>
  <si>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残疾人生活和护理补贴</t>
    </r>
  </si>
  <si>
    <t xml:space="preserve">      其他残疾人事业支出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</si>
  <si>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其他残疾人事业支出</t>
    </r>
  </si>
  <si>
    <t xml:space="preserve">      中央自然灾害生活补助</t>
  </si>
  <si>
    <t xml:space="preserve">      地方自然灾害生活救助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</si>
  <si>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地方自然灾害生活救助</t>
    </r>
  </si>
  <si>
    <t xml:space="preserve">      城市最低生活保障金支出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</si>
  <si>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城市最低生活保障金支出</t>
    </r>
  </si>
  <si>
    <t xml:space="preserve">      农村最低生活保障金支出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</si>
  <si>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农村</t>
    </r>
    <r>
      <rPr>
        <sz val="12"/>
        <rFont val="宋体"/>
        <charset val="134"/>
      </rPr>
      <t>最低生活保障金支出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</si>
  <si>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临时救助支出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</si>
  <si>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流浪乞讨人员救助支出</t>
    </r>
  </si>
  <si>
    <t xml:space="preserve">      其他城市生活救助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</si>
  <si>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其他城市生活救助</t>
    </r>
  </si>
  <si>
    <t xml:space="preserve">      其他农村生活救助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</si>
  <si>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其他农村生活救助</t>
    </r>
  </si>
  <si>
    <t xml:space="preserve">    财政对基本养老保险基金的补助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</si>
  <si>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财政对基本养老保险基金的补助</t>
    </r>
  </si>
  <si>
    <t xml:space="preserve">       财政对企业职工基本养老基金的补助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</si>
  <si>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财政对企业职工基本养老基金的补助</t>
    </r>
  </si>
  <si>
    <t xml:space="preserve">       财政对城乡居民基本养老基金的补助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</si>
  <si>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财政对城乡居民基本养老基金的补助</t>
    </r>
  </si>
  <si>
    <t xml:space="preserve">    财政对其他社会保险基金的补助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</si>
  <si>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财政对其他社会保险基金的补助</t>
    </r>
  </si>
  <si>
    <t xml:space="preserve">       财政对生育保险基金的补助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</si>
  <si>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财政对生育保险基金的补助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</si>
  <si>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其他社会保障和就业支出</t>
    </r>
  </si>
  <si>
    <t xml:space="preserve">      其他医疗卫生与计划生育管理事务支出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</si>
  <si>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其他医疗卫生与计划生育管理事务支出</t>
    </r>
  </si>
  <si>
    <t xml:space="preserve">      综合医院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</si>
  <si>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综合医院</t>
    </r>
  </si>
  <si>
    <t xml:space="preserve">      中医医院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</si>
  <si>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中医医院</t>
    </r>
  </si>
  <si>
    <t xml:space="preserve">      儿童医院</t>
  </si>
  <si>
    <t xml:space="preserve">      其他公立医院支出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</si>
  <si>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其他公立医院支出</t>
    </r>
  </si>
  <si>
    <t xml:space="preserve">      城市社区卫生机构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</si>
  <si>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城市社区卫生机构</t>
    </r>
  </si>
  <si>
    <t xml:space="preserve">      乡镇卫生院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</si>
  <si>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乡镇卫生院</t>
    </r>
  </si>
  <si>
    <t xml:space="preserve">      其他基层医疗卫生机构支出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</si>
  <si>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其他基层医疗卫生机构支出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</si>
  <si>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疾病预防控制机构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</si>
  <si>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卫生监督机构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</si>
  <si>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妇幼保健机构</t>
    </r>
  </si>
  <si>
    <t xml:space="preserve">      基本公共卫生服务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</si>
  <si>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基本公共卫生服务</t>
    </r>
  </si>
  <si>
    <t xml:space="preserve">      重大公共卫生专项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</si>
  <si>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重大公共卫生专项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</si>
  <si>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其他公共卫生支出</t>
    </r>
  </si>
  <si>
    <t xml:space="preserve">      中医（民政医）药专项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</si>
  <si>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中医（民政医）药专项</t>
    </r>
  </si>
  <si>
    <t xml:space="preserve">      其他中医药支出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</si>
  <si>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其他中医药支出</t>
    </r>
  </si>
  <si>
    <t xml:space="preserve">      计划生育机构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</si>
  <si>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计划生育机构</t>
    </r>
  </si>
  <si>
    <t xml:space="preserve">      计划生育服务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</si>
  <si>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计划生育服务</t>
    </r>
  </si>
  <si>
    <t xml:space="preserve">      其他计划生育事务支出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</si>
  <si>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其他计划生育事务支出</t>
    </r>
  </si>
  <si>
    <t xml:space="preserve">    食品和药品监督管理事务</t>
  </si>
  <si>
    <t xml:space="preserve">      食品安全事务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</si>
  <si>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食品安全事务</t>
    </r>
  </si>
  <si>
    <t xml:space="preserve">      其他食品和药品监督管理事务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</si>
  <si>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其他</t>
    </r>
    <r>
      <rPr>
        <sz val="12"/>
        <rFont val="宋体"/>
        <charset val="134"/>
      </rPr>
      <t>食品和药品监督管理事务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</si>
  <si>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行政单位医疗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</si>
  <si>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事业单位医疗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</si>
  <si>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公务员医疗补助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</si>
  <si>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财政对基本医疗保险基金的补助</t>
    </r>
  </si>
  <si>
    <t xml:space="preserve">       财政对城乡居民基本医疗保险基金的补助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</si>
  <si>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财政对新型农村合作医疗基金的补助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</si>
  <si>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医疗救助</t>
    </r>
  </si>
  <si>
    <t xml:space="preserve">      城乡医疗救助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</si>
  <si>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城乡医疗救助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</si>
  <si>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优抚对象医疗</t>
    </r>
  </si>
  <si>
    <t xml:space="preserve">      优抚对象医疗补助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</si>
  <si>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优抚对象医疗补助</t>
    </r>
  </si>
  <si>
    <t xml:space="preserve">      城镇居民基本医疗保险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</si>
  <si>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城镇居民基本医疗保险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</si>
  <si>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其他医疗卫生与计划生育支出</t>
    </r>
  </si>
  <si>
    <t xml:space="preserve">      其他环境监测与监察支出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</si>
  <si>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其他环境监测与监察支出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</si>
  <si>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大气</t>
    </r>
  </si>
  <si>
    <t xml:space="preserve">      水体</t>
  </si>
  <si>
    <t xml:space="preserve">      固体废器物与化学品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</si>
  <si>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固体废器物与化学品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</si>
  <si>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其他污染防治支出</t>
    </r>
  </si>
  <si>
    <t xml:space="preserve">      农村环境保护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</si>
  <si>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农村环境保护</t>
    </r>
  </si>
  <si>
    <t xml:space="preserve">      森林管护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</si>
  <si>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森林管护</t>
    </r>
  </si>
  <si>
    <t xml:space="preserve">      社会保险补助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</si>
  <si>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社会保险补助</t>
    </r>
  </si>
  <si>
    <t xml:space="preserve">      退耕现金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</si>
  <si>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退耕现金</t>
    </r>
  </si>
  <si>
    <t xml:space="preserve">      其他退耕还林支出</t>
  </si>
  <si>
    <t xml:space="preserve">      能源节约利用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</si>
  <si>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能源节约利用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</si>
  <si>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环境监测与信息</t>
    </r>
  </si>
  <si>
    <t>十一、城乡社区支出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</si>
  <si>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行政运行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</si>
  <si>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城管执法</t>
    </r>
  </si>
  <si>
    <t xml:space="preserve">        其他城乡社区管理事务支出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</si>
  <si>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其他城乡社区管理事务支出</t>
    </r>
  </si>
  <si>
    <t xml:space="preserve">        城乡社区规划与管理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</si>
  <si>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城乡社区规划与管理</t>
    </r>
  </si>
  <si>
    <t xml:space="preserve">        小城镇基础设施建设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</si>
  <si>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小城镇基础设施建设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</si>
  <si>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其他</t>
    </r>
    <r>
      <rPr>
        <sz val="12"/>
        <rFont val="宋体"/>
        <charset val="134"/>
      </rPr>
      <t>城乡社区公共设施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</si>
  <si>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城乡社区环境卫生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</si>
  <si>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建设市场管理与监督</t>
    </r>
  </si>
  <si>
    <t>十二、农林水支出</t>
  </si>
  <si>
    <t xml:space="preserve">        事业运行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</si>
  <si>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事业运行</t>
    </r>
  </si>
  <si>
    <t xml:space="preserve">        科技转化与推广服务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</si>
  <si>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科技转化与推广服务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</si>
  <si>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病虫害控制</t>
    </r>
  </si>
  <si>
    <t xml:space="preserve">        农业结构调整补贴</t>
  </si>
  <si>
    <t xml:space="preserve">        农产品质量安全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</si>
  <si>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农产品质量安全</t>
    </r>
  </si>
  <si>
    <t xml:space="preserve">        农业生产支持补贴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</si>
  <si>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农业生产支持补贴</t>
    </r>
  </si>
  <si>
    <t xml:space="preserve">        农业组织化和产业化经营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</si>
  <si>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农业组织化和产业化经营</t>
    </r>
  </si>
  <si>
    <t xml:space="preserve">        对高校毕业生到基础任职补助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</si>
  <si>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对高校毕业生到基础任职补助</t>
    </r>
  </si>
  <si>
    <t xml:space="preserve">        其他农业支出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</si>
  <si>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其他农业支出</t>
    </r>
  </si>
  <si>
    <t xml:space="preserve">        林业事业机构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</si>
  <si>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林业事业机构</t>
    </r>
  </si>
  <si>
    <t xml:space="preserve">        森林培育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</si>
  <si>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森林培育</t>
    </r>
  </si>
  <si>
    <t xml:space="preserve">        森林资源管理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</si>
  <si>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森林资源管理</t>
    </r>
  </si>
  <si>
    <t xml:space="preserve">        森林生态效益补偿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</si>
  <si>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森林生态效益补偿</t>
    </r>
  </si>
  <si>
    <t xml:space="preserve">        湿地保护</t>
  </si>
  <si>
    <t xml:space="preserve">        林业产业化</t>
  </si>
  <si>
    <t xml:space="preserve">        林业执法与监督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</si>
  <si>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林业执法与监督</t>
    </r>
  </si>
  <si>
    <t xml:space="preserve">        林业防灾减灾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</si>
  <si>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林业防灾减灾</t>
    </r>
  </si>
  <si>
    <t xml:space="preserve">        其他林业支出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</si>
  <si>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其他林业支出</t>
    </r>
  </si>
  <si>
    <t xml:space="preserve">        水利工程建设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</si>
  <si>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水利工程建设</t>
    </r>
  </si>
  <si>
    <t xml:space="preserve">        水土保持</t>
  </si>
  <si>
    <t xml:space="preserve">        水资源节约管理与保护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</si>
  <si>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水资源节约管理与保护</t>
    </r>
  </si>
  <si>
    <t xml:space="preserve">        防汛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</si>
  <si>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防汛</t>
    </r>
  </si>
  <si>
    <t xml:space="preserve">        农田水利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</si>
  <si>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农田水利</t>
    </r>
  </si>
  <si>
    <t xml:space="preserve">        水利技术推广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</si>
  <si>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水利技术推广</t>
    </r>
  </si>
  <si>
    <t xml:space="preserve">        大中型水库移民后期扶持专项支出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</si>
  <si>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大中型水库移民后期扶持专项支出</t>
    </r>
  </si>
  <si>
    <t xml:space="preserve">        其他水利支出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</si>
  <si>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其他水利支出</t>
    </r>
  </si>
  <si>
    <t xml:space="preserve">        社会发展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</si>
  <si>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其他扶贫支出</t>
    </r>
  </si>
  <si>
    <t xml:space="preserve">        土地治理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</si>
  <si>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土地治理</t>
    </r>
  </si>
  <si>
    <t xml:space="preserve">        产业化经营</t>
  </si>
  <si>
    <t xml:space="preserve">        其他农业综合开发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</si>
  <si>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其他农业综合开发</t>
    </r>
  </si>
  <si>
    <t xml:space="preserve">        对村级一事一议的补助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</si>
  <si>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对村级一事一议的补助</t>
    </r>
  </si>
  <si>
    <t xml:space="preserve">        对村民委员会和村党支部的补助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</si>
  <si>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对村民委员会和村党支部的补助</t>
    </r>
  </si>
  <si>
    <t xml:space="preserve">        农村综合改革示范试点补助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</si>
  <si>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农村综合改革示范试点补助</t>
    </r>
  </si>
  <si>
    <t xml:space="preserve">      普惠金融发展支出</t>
  </si>
  <si>
    <t xml:space="preserve">        支持农村金融机构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</si>
  <si>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支持农村金融机构</t>
    </r>
  </si>
  <si>
    <t xml:space="preserve">        农业保险保费补贴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</si>
  <si>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农业保险保费补贴</t>
    </r>
  </si>
  <si>
    <t xml:space="preserve">        创业担保贷款贴息</t>
  </si>
  <si>
    <t xml:space="preserve">        其他农林水事务支出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</si>
  <si>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其他农林水事务支出</t>
    </r>
  </si>
  <si>
    <t>十三、交通运输支出</t>
  </si>
  <si>
    <t xml:space="preserve">        公路建设</t>
  </si>
  <si>
    <t xml:space="preserve">        公路运输管理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</si>
  <si>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公路运输管理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</si>
  <si>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其他公路水路运输支出</t>
    </r>
  </si>
  <si>
    <t xml:space="preserve">      石油价格改革对交通运输的补贴</t>
  </si>
  <si>
    <t xml:space="preserve">        对城市公交的补贴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</si>
  <si>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对</t>
    </r>
    <r>
      <rPr>
        <sz val="12"/>
        <rFont val="宋体"/>
        <charset val="134"/>
      </rPr>
      <t>城市公交的补贴</t>
    </r>
  </si>
  <si>
    <t xml:space="preserve">        对农村道路客运的补贴</t>
  </si>
  <si>
    <t xml:space="preserve">        对出租车的补贴</t>
  </si>
  <si>
    <t xml:space="preserve">        车辆购置税用于农村公路建设支出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</si>
  <si>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车辆购置税用于农村公路建设支出</t>
    </r>
  </si>
  <si>
    <t>十四、资源勘探信息等支出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</si>
  <si>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其他工业和信息产业监管支出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</si>
  <si>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其他安全生产监管支出</t>
    </r>
  </si>
  <si>
    <t xml:space="preserve">        中小企业发展专项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</si>
  <si>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中小企业发展专项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</si>
  <si>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其他支持中小企业发展和管理支出</t>
    </r>
  </si>
  <si>
    <t>十五、商业服务业等支出</t>
  </si>
  <si>
    <t xml:space="preserve">        其他商业流通事务支出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</si>
  <si>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其他商业流通事务支出</t>
    </r>
  </si>
  <si>
    <t xml:space="preserve">        旅游宣传</t>
  </si>
  <si>
    <t xml:space="preserve">        其他旅游业管理与服务支出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</si>
  <si>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</t>
    </r>
    <r>
      <rPr>
        <sz val="12"/>
        <rFont val="宋体"/>
        <charset val="134"/>
      </rPr>
      <t>旅游业管理与服务支出</t>
    </r>
  </si>
  <si>
    <t xml:space="preserve">      涉外发展服务支出</t>
  </si>
  <si>
    <t xml:space="preserve">      其他商业服务业等支出</t>
  </si>
  <si>
    <t xml:space="preserve">        国土整治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</si>
  <si>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地质灾害防治</t>
    </r>
  </si>
  <si>
    <t xml:space="preserve">        其他国土资源事务支出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</si>
  <si>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其他国土资源事务支出</t>
    </r>
  </si>
  <si>
    <t xml:space="preserve">        地震事业机构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</si>
  <si>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地震事业机构</t>
    </r>
  </si>
  <si>
    <t xml:space="preserve">        气象事业机构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</si>
  <si>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其他气象事务支出</t>
    </r>
  </si>
  <si>
    <t xml:space="preserve">      保障性安居工程支出</t>
  </si>
  <si>
    <t xml:space="preserve">        农村危房改造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</si>
  <si>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农村危房改造</t>
    </r>
  </si>
  <si>
    <t xml:space="preserve">        棚户区改造</t>
  </si>
  <si>
    <t xml:space="preserve">        公共租赁住房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</si>
  <si>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公共租赁住房</t>
    </r>
  </si>
  <si>
    <t xml:space="preserve">        保障性住房租金补贴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</si>
  <si>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保障性住房租金补贴</t>
    </r>
  </si>
  <si>
    <t xml:space="preserve">        其他保障性安居工程支出</t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</si>
  <si>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其他保障性安居工程支出</t>
    </r>
  </si>
  <si>
    <t xml:space="preserve">      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</si>
  <si>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住房公积金</t>
    </r>
  </si>
  <si>
    <t xml:space="preserve">        住房公积金管理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</si>
  <si>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住房公积金管理</t>
    </r>
  </si>
  <si>
    <t xml:space="preserve">        其他城乡社区住宅支出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</si>
  <si>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其他城乡社区住宅支出</t>
    </r>
  </si>
  <si>
    <t>二十一、预备费</t>
  </si>
  <si>
    <t>二十二、其他支出</t>
  </si>
  <si>
    <t xml:space="preserve">            其他支出</t>
  </si>
  <si>
    <t>二十三、债务付息支出</t>
  </si>
  <si>
    <t xml:space="preserve">        地方政府一般债务付息支出</t>
  </si>
  <si>
    <t xml:space="preserve">          地方政府一般债券付息支出</t>
  </si>
  <si>
    <t>二十四、债务发行费用支出</t>
  </si>
  <si>
    <t xml:space="preserve">        地方政府一般债务发行费用支出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</si>
  <si>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地方政府一般债务发行费用支出</t>
    </r>
  </si>
  <si>
    <t>一般公共预算支出合计</t>
  </si>
  <si>
    <t>说明：1、预算数包括本年本级收入、上级返还性收入、一般性转移、专项转移支付资金安排的支出。</t>
  </si>
  <si>
    <t xml:space="preserve">      2、年初预留包括增人增资、文明城市和文明单位创建、年度目标责任制考核、节假日值班补助、产业及园区扶持等资金。</t>
  </si>
  <si>
    <t>孝义市二○一八年上半年政府性基金预算收入完成情况表</t>
  </si>
  <si>
    <t>表十四</t>
  </si>
  <si>
    <t>收入项目</t>
  </si>
  <si>
    <t>2017年上半年完成数</t>
  </si>
  <si>
    <t>政府性基金预算收入合计</t>
  </si>
  <si>
    <t>孝义市二○一八年上半年政府性基金预算支出执行情况表</t>
  </si>
  <si>
    <t>表十五</t>
  </si>
  <si>
    <t>支出项目</t>
  </si>
  <si>
    <t>2017年上半年执行数</t>
  </si>
  <si>
    <t>一、社会保障和就业</t>
  </si>
  <si>
    <r>
      <rPr>
        <sz val="12"/>
        <color indexed="8"/>
        <rFont val="Times New Roman"/>
        <charset val="134"/>
      </rPr>
      <t xml:space="preserve">            </t>
    </r>
    <r>
      <rPr>
        <sz val="12"/>
        <color indexed="8"/>
        <rFont val="宋体"/>
        <charset val="134"/>
      </rPr>
      <t>移民补助</t>
    </r>
  </si>
  <si>
    <r>
      <rPr>
        <sz val="12"/>
        <color indexed="8"/>
        <rFont val="Times New Roman"/>
        <charset val="134"/>
      </rPr>
      <t xml:space="preserve">            </t>
    </r>
    <r>
      <rPr>
        <sz val="12"/>
        <color indexed="8"/>
        <rFont val="宋体"/>
        <charset val="134"/>
      </rPr>
      <t>基础设施建设和经济发展</t>
    </r>
  </si>
  <si>
    <t>二、城乡社区事务</t>
  </si>
  <si>
    <t xml:space="preserve">       征地和拆迁补偿支出</t>
  </si>
  <si>
    <t xml:space="preserve">       城市建设支出</t>
  </si>
  <si>
    <t xml:space="preserve">       公共租赁住房支出</t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</si>
  <si>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其他国有土地使用权出让收入安排的支出</t>
    </r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</si>
  <si>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其他国有土地使用权出让收入安排的支出</t>
    </r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</si>
  <si>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其他城市公用事业附加安排的支出</t>
    </r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</si>
  <si>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其他国有土地收益基金支出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</si>
  <si>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其他城市基础设施配套费安排的支出</t>
    </r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</si>
  <si>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其他城市基础设施配套费安排的支出</t>
    </r>
  </si>
  <si>
    <t xml:space="preserve">      城市环境卫生</t>
  </si>
  <si>
    <t xml:space="preserve">       城市环境卫生</t>
  </si>
  <si>
    <t>三、其他支出</t>
  </si>
  <si>
    <t xml:space="preserve">       彩票公益金及对应专项债务收入安排的支出</t>
  </si>
  <si>
    <t>四、债务付息支出</t>
  </si>
  <si>
    <t xml:space="preserve">    地方政府专项债务付息支出</t>
  </si>
  <si>
    <t>孝义市二○一八年上半年社会保险基金预算收支执行情况表</t>
  </si>
  <si>
    <t>表十六</t>
  </si>
  <si>
    <t>2018年预算收入数</t>
  </si>
  <si>
    <t>2018年预算支出数</t>
  </si>
  <si>
    <t>收支结余</t>
  </si>
  <si>
    <t>5、城乡居民基本医疗保险基金</t>
  </si>
  <si>
    <t>6、工伤保险基金</t>
  </si>
  <si>
    <t>7、失业保险基金</t>
  </si>
  <si>
    <t>8、生育保险基金</t>
  </si>
  <si>
    <t>孝义市二○一八年上半年国有资本经营预算收支情况表</t>
  </si>
  <si>
    <t>表十七</t>
  </si>
  <si>
    <t>2018年预算为2017年完成</t>
  </si>
  <si>
    <t>2017年备案预算数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</si>
  <si>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</si>
  <si>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</si>
  <si>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</si>
  <si>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</si>
  <si>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</si>
  <si>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国有资本经营预算收入合计</t>
  </si>
  <si>
    <t>国有资本经营预算支出合计</t>
  </si>
  <si>
    <t>孝义市二○一七年政府一般债务限额和余额情况表</t>
  </si>
  <si>
    <t>表十八</t>
  </si>
  <si>
    <t>金额</t>
  </si>
  <si>
    <t>2017年末一般债务限额</t>
  </si>
  <si>
    <t>2017年末一般债务余额</t>
  </si>
  <si>
    <t>孝义市二○一七年政府专项债务限额和余额情况表</t>
  </si>
  <si>
    <t>表十九</t>
  </si>
  <si>
    <t>2017年末专项债务限额</t>
  </si>
  <si>
    <t>2017年末专项债务余额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</si>
</sst>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.0_ "/>
    <numFmt numFmtId="180" formatCode="#,##0.00_ "/>
    <numFmt numFmtId="181" formatCode="* #,##0.0;* \-#,##0.0;* &quot;&quot;??;@"/>
  </numFmts>
  <fonts count="47">
    <font>
      <sz val="12"/>
      <name val="宋体"/>
      <charset val="134"/>
    </font>
    <font>
      <sz val="23"/>
      <name val="方正大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23"/>
      <color indexed="8"/>
      <name val="方正大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大标宋简体"/>
      <charset val="134"/>
    </font>
    <font>
      <sz val="9"/>
      <name val="方正大标宋简体"/>
      <charset val="134"/>
    </font>
    <font>
      <sz val="10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8"/>
      <name val="方正大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24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9" borderId="26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6" borderId="20" applyNumberFormat="0" applyAlignment="0" applyProtection="0">
      <alignment vertical="center"/>
    </xf>
    <xf numFmtId="0" fontId="43" fillId="6" borderId="24" applyNumberFormat="0" applyAlignment="0" applyProtection="0">
      <alignment vertical="center"/>
    </xf>
    <xf numFmtId="0" fontId="38" fillId="24" borderId="27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0" fontId="46" fillId="0" borderId="0"/>
    <xf numFmtId="0" fontId="45" fillId="0" borderId="0"/>
    <xf numFmtId="0" fontId="36" fillId="18" borderId="0" applyNumberFormat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176" fontId="2" fillId="2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NumberFormat="1" applyFill="1" applyBorder="1" applyAlignment="1" applyProtection="1">
      <alignment vertical="center"/>
    </xf>
    <xf numFmtId="0" fontId="0" fillId="2" borderId="0" xfId="0" applyNumberForma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Alignment="1" applyProtection="1"/>
    <xf numFmtId="0" fontId="2" fillId="2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ont="1" applyFill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10" fontId="2" fillId="0" borderId="1" xfId="0" applyNumberFormat="1" applyFont="1" applyBorder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49" fontId="7" fillId="0" borderId="1" xfId="54" applyNumberFormat="1" applyFont="1" applyFill="1" applyBorder="1" applyAlignment="1" applyProtection="1">
      <alignment horizontal="left" vertical="center"/>
    </xf>
    <xf numFmtId="49" fontId="8" fillId="0" borderId="1" xfId="54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>
      <alignment vertical="center" wrapText="1"/>
    </xf>
    <xf numFmtId="177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>
      <alignment vertical="center"/>
    </xf>
    <xf numFmtId="3" fontId="0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3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vertical="center"/>
    </xf>
    <xf numFmtId="177" fontId="0" fillId="3" borderId="1" xfId="0" applyNumberFormat="1" applyFont="1" applyFill="1" applyBorder="1" applyAlignment="1">
      <alignment vertical="center"/>
    </xf>
    <xf numFmtId="177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5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4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1" xfId="0" applyFont="1" applyFill="1" applyBorder="1">
      <alignment vertical="center"/>
    </xf>
    <xf numFmtId="3" fontId="9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vertical="center" wrapText="1"/>
    </xf>
    <xf numFmtId="177" fontId="5" fillId="3" borderId="6" xfId="0" applyNumberFormat="1" applyFont="1" applyFill="1" applyBorder="1" applyAlignment="1">
      <alignment vertical="center" wrapText="1"/>
    </xf>
    <xf numFmtId="10" fontId="5" fillId="3" borderId="6" xfId="0" applyNumberFormat="1" applyFont="1" applyFill="1" applyBorder="1" applyAlignment="1">
      <alignment vertical="center" wrapText="1"/>
    </xf>
    <xf numFmtId="10" fontId="5" fillId="3" borderId="7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" fontId="0" fillId="3" borderId="8" xfId="0" applyNumberFormat="1" applyFont="1" applyFill="1" applyBorder="1">
      <alignment vertical="center"/>
    </xf>
    <xf numFmtId="178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5" fillId="3" borderId="1" xfId="0" applyNumberFormat="1" applyFont="1" applyFill="1" applyBorder="1" applyAlignment="1" applyProtection="1">
      <alignment vertical="center" wrapText="1"/>
      <protection locked="0"/>
    </xf>
    <xf numFmtId="10" fontId="5" fillId="3" borderId="1" xfId="0" applyNumberFormat="1" applyFont="1" applyFill="1" applyBorder="1" applyAlignment="1">
      <alignment vertical="center" wrapText="1"/>
    </xf>
    <xf numFmtId="10" fontId="5" fillId="3" borderId="9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8" fontId="0" fillId="3" borderId="5" xfId="0" applyNumberFormat="1" applyFont="1" applyFill="1" applyBorder="1" applyAlignment="1" applyProtection="1">
      <alignment horizontal="left" vertical="center"/>
      <protection locked="0"/>
    </xf>
    <xf numFmtId="17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79" fontId="0" fillId="3" borderId="5" xfId="0" applyNumberFormat="1" applyFont="1" applyFill="1" applyBorder="1" applyAlignment="1" applyProtection="1">
      <alignment horizontal="left" vertical="center"/>
      <protection locked="0"/>
    </xf>
    <xf numFmtId="179" fontId="0" fillId="3" borderId="5" xfId="0" applyNumberForma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78" fontId="6" fillId="3" borderId="5" xfId="0" applyNumberFormat="1" applyFont="1" applyFill="1" applyBorder="1" applyAlignment="1" applyProtection="1">
      <alignment horizontal="left" vertical="center"/>
      <protection locked="0"/>
    </xf>
    <xf numFmtId="177" fontId="0" fillId="3" borderId="6" xfId="0" applyNumberFormat="1" applyFont="1" applyFill="1" applyBorder="1" applyAlignment="1">
      <alignment vertical="center"/>
    </xf>
    <xf numFmtId="177" fontId="0" fillId="3" borderId="1" xfId="0" applyNumberFormat="1" applyFont="1" applyFill="1" applyBorder="1" applyAlignment="1" applyProtection="1">
      <alignment vertical="center"/>
      <protection locked="0"/>
    </xf>
    <xf numFmtId="177" fontId="6" fillId="3" borderId="1" xfId="0" applyNumberFormat="1" applyFont="1" applyFill="1" applyBorder="1" applyAlignment="1" applyProtection="1">
      <alignment vertical="center"/>
      <protection locked="0"/>
    </xf>
    <xf numFmtId="177" fontId="5" fillId="3" borderId="1" xfId="0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1" fontId="0" fillId="3" borderId="5" xfId="0" applyNumberFormat="1" applyFont="1" applyFill="1" applyBorder="1">
      <alignment vertical="center"/>
    </xf>
    <xf numFmtId="1" fontId="5" fillId="3" borderId="1" xfId="0" applyNumberFormat="1" applyFont="1" applyFill="1" applyBorder="1" applyAlignment="1">
      <alignment horizontal="left" wrapText="1"/>
    </xf>
    <xf numFmtId="1" fontId="0" fillId="3" borderId="5" xfId="0" applyNumberFormat="1" applyFont="1" applyFill="1" applyBorder="1" applyAlignment="1">
      <alignment horizontal="left"/>
    </xf>
    <xf numFmtId="178" fontId="0" fillId="3" borderId="5" xfId="0" applyNumberForma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left" vertical="center" wrapText="1"/>
    </xf>
    <xf numFmtId="3" fontId="0" fillId="3" borderId="5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vertical="center" wrapText="1"/>
    </xf>
    <xf numFmtId="1" fontId="4" fillId="3" borderId="1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1" fontId="4" fillId="3" borderId="0" xfId="0" applyNumberFormat="1" applyFont="1" applyFill="1" applyBorder="1" applyAlignment="1">
      <alignment horizontal="center"/>
    </xf>
    <xf numFmtId="0" fontId="5" fillId="3" borderId="0" xfId="0" applyFont="1" applyFill="1">
      <alignment vertical="center"/>
    </xf>
    <xf numFmtId="0" fontId="5" fillId="3" borderId="4" xfId="0" applyFont="1" applyFill="1" applyBorder="1">
      <alignment vertical="center"/>
    </xf>
    <xf numFmtId="1" fontId="4" fillId="3" borderId="8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3" borderId="1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10" fontId="2" fillId="0" borderId="1" xfId="0" applyNumberFormat="1" applyFont="1" applyBorder="1" applyAlignment="1">
      <alignment vertical="center" wrapText="1"/>
    </xf>
    <xf numFmtId="180" fontId="0" fillId="0" borderId="1" xfId="0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4" borderId="1" xfId="0" applyFont="1" applyFill="1" applyBorder="1" applyAlignment="1">
      <alignment vertical="center"/>
    </xf>
    <xf numFmtId="177" fontId="0" fillId="4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7" fontId="4" fillId="2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177" fontId="3" fillId="4" borderId="1" xfId="0" applyNumberFormat="1" applyFont="1" applyFill="1" applyBorder="1">
      <alignment vertical="center"/>
    </xf>
    <xf numFmtId="0" fontId="11" fillId="3" borderId="0" xfId="0" applyFont="1" applyFill="1" applyAlignment="1">
      <alignment vertical="center"/>
    </xf>
    <xf numFmtId="178" fontId="12" fillId="3" borderId="0" xfId="0" applyNumberFormat="1" applyFont="1" applyFill="1" applyAlignment="1">
      <alignment vertical="center"/>
    </xf>
    <xf numFmtId="178" fontId="11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right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78" fontId="2" fillId="3" borderId="3" xfId="0" applyNumberFormat="1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78" fontId="2" fillId="3" borderId="9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176" fontId="2" fillId="3" borderId="9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8" fontId="11" fillId="3" borderId="0" xfId="0" applyNumberFormat="1" applyFont="1" applyFill="1" applyBorder="1" applyAlignment="1">
      <alignment vertical="center"/>
    </xf>
    <xf numFmtId="178" fontId="11" fillId="3" borderId="6" xfId="0" applyNumberFormat="1" applyFont="1" applyFill="1" applyBorder="1" applyAlignment="1">
      <alignment vertical="center"/>
    </xf>
    <xf numFmtId="178" fontId="14" fillId="3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176" fontId="2" fillId="3" borderId="9" xfId="0" applyNumberFormat="1" applyFont="1" applyFill="1" applyBorder="1" applyAlignment="1">
      <alignment vertical="center" wrapText="1"/>
    </xf>
    <xf numFmtId="178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78" fontId="12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81" fontId="16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17" fillId="3" borderId="0" xfId="0" applyNumberFormat="1" applyFont="1" applyFill="1" applyBorder="1" applyAlignment="1" applyProtection="1">
      <alignment vertical="center"/>
    </xf>
    <xf numFmtId="178" fontId="17" fillId="3" borderId="0" xfId="0" applyNumberFormat="1" applyFont="1" applyFill="1" applyBorder="1" applyAlignment="1">
      <alignment vertical="center"/>
    </xf>
    <xf numFmtId="181" fontId="17" fillId="3" borderId="0" xfId="0" applyNumberFormat="1" applyFont="1" applyFill="1" applyBorder="1" applyAlignment="1">
      <alignment vertical="center"/>
    </xf>
    <xf numFmtId="181" fontId="17" fillId="3" borderId="0" xfId="0" applyNumberFormat="1" applyFont="1" applyFill="1" applyBorder="1" applyAlignment="1"/>
    <xf numFmtId="0" fontId="17" fillId="3" borderId="0" xfId="0" applyFont="1" applyFill="1" applyBorder="1" applyAlignment="1"/>
    <xf numFmtId="0" fontId="0" fillId="3" borderId="0" xfId="0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 horizontal="center" vertical="center" wrapText="1"/>
    </xf>
    <xf numFmtId="178" fontId="18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81" fontId="0" fillId="3" borderId="0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right" vertical="center"/>
    </xf>
    <xf numFmtId="181" fontId="3" fillId="3" borderId="0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vertical="center"/>
    </xf>
    <xf numFmtId="181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181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17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" fontId="19" fillId="0" borderId="0" xfId="0" applyNumberFormat="1" applyFont="1">
      <alignment vertical="center"/>
    </xf>
    <xf numFmtId="3" fontId="0" fillId="0" borderId="0" xfId="0" applyNumberFormat="1" applyFont="1" applyAlignment="1">
      <alignment vertical="top"/>
    </xf>
    <xf numFmtId="3" fontId="0" fillId="0" borderId="0" xfId="0" applyNumberFormat="1" applyFont="1">
      <alignment vertical="center"/>
    </xf>
    <xf numFmtId="3" fontId="0" fillId="0" borderId="0" xfId="0" applyNumberFormat="1" applyFont="1" applyFill="1">
      <alignment vertical="center"/>
    </xf>
    <xf numFmtId="3" fontId="0" fillId="2" borderId="0" xfId="0" applyNumberFormat="1" applyFill="1">
      <alignment vertical="center"/>
    </xf>
    <xf numFmtId="3" fontId="0" fillId="0" borderId="0" xfId="0" applyNumberFormat="1">
      <alignment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3" fontId="2" fillId="0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1" fillId="0" borderId="11" xfId="0" applyNumberFormat="1" applyFont="1" applyBorder="1">
      <alignment vertical="center"/>
    </xf>
    <xf numFmtId="3" fontId="2" fillId="0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10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>
      <alignment vertical="center"/>
    </xf>
    <xf numFmtId="3" fontId="0" fillId="5" borderId="1" xfId="0" applyNumberFormat="1" applyFont="1" applyFill="1" applyBorder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>
      <alignment vertical="center"/>
    </xf>
    <xf numFmtId="3" fontId="0" fillId="0" borderId="1" xfId="0" applyNumberFormat="1" applyFont="1" applyFill="1" applyBorder="1">
      <alignment vertical="center"/>
    </xf>
    <xf numFmtId="49" fontId="20" fillId="0" borderId="1" xfId="54" applyNumberFormat="1" applyFont="1" applyFill="1" applyBorder="1" applyAlignment="1" applyProtection="1">
      <alignment horizontal="left" vertical="center"/>
    </xf>
    <xf numFmtId="49" fontId="2" fillId="0" borderId="1" xfId="54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>
      <alignment vertical="center"/>
    </xf>
    <xf numFmtId="3" fontId="10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3" fontId="2" fillId="2" borderId="0" xfId="0" applyNumberFormat="1" applyFont="1" applyFill="1">
      <alignment vertical="center"/>
    </xf>
    <xf numFmtId="3" fontId="2" fillId="0" borderId="0" xfId="0" applyNumberFormat="1" applyFont="1">
      <alignment vertical="center"/>
    </xf>
    <xf numFmtId="3" fontId="0" fillId="2" borderId="0" xfId="0" applyNumberFormat="1" applyFont="1" applyFill="1">
      <alignment vertical="center"/>
    </xf>
    <xf numFmtId="3" fontId="2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/>
    </xf>
    <xf numFmtId="3" fontId="5" fillId="0" borderId="12" xfId="0" applyNumberFormat="1" applyFont="1" applyBorder="1">
      <alignment vertical="center"/>
    </xf>
    <xf numFmtId="3" fontId="5" fillId="2" borderId="12" xfId="0" applyNumberFormat="1" applyFont="1" applyFill="1" applyBorder="1">
      <alignment vertical="center"/>
    </xf>
    <xf numFmtId="10" fontId="2" fillId="0" borderId="12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>
      <alignment vertical="center"/>
    </xf>
    <xf numFmtId="3" fontId="5" fillId="0" borderId="12" xfId="0" applyNumberFormat="1" applyFont="1" applyBorder="1" applyAlignment="1">
      <alignment horizontal="left" vertical="center"/>
    </xf>
    <xf numFmtId="3" fontId="5" fillId="0" borderId="14" xfId="0" applyNumberFormat="1" applyFont="1" applyBorder="1">
      <alignment vertical="center"/>
    </xf>
    <xf numFmtId="3" fontId="5" fillId="2" borderId="14" xfId="0" applyNumberFormat="1" applyFont="1" applyFill="1" applyBorder="1">
      <alignment vertical="center"/>
    </xf>
    <xf numFmtId="3" fontId="2" fillId="0" borderId="14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3" fontId="5" fillId="2" borderId="1" xfId="0" applyNumberFormat="1" applyFont="1" applyFill="1" applyBorder="1">
      <alignment vertical="center"/>
    </xf>
    <xf numFmtId="3" fontId="4" fillId="0" borderId="1" xfId="0" applyNumberFormat="1" applyFont="1" applyBorder="1">
      <alignment vertical="center"/>
    </xf>
    <xf numFmtId="3" fontId="19" fillId="2" borderId="0" xfId="0" applyNumberFormat="1" applyFont="1" applyFill="1">
      <alignment vertical="center"/>
    </xf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/>
    </xf>
    <xf numFmtId="3" fontId="19" fillId="0" borderId="0" xfId="0" applyNumberFormat="1" applyFont="1" applyFill="1">
      <alignment vertical="center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3" fontId="2" fillId="0" borderId="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>
      <alignment vertical="center"/>
    </xf>
    <xf numFmtId="1" fontId="2" fillId="0" borderId="1" xfId="0" applyNumberFormat="1" applyFont="1" applyFill="1" applyBorder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9" fontId="2" fillId="0" borderId="1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1" xfId="54" applyNumberFormat="1" applyFont="1" applyFill="1" applyBorder="1"/>
    <xf numFmtId="0" fontId="2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1" fontId="2" fillId="0" borderId="12" xfId="0" applyNumberFormat="1" applyFont="1" applyBorder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>
      <alignment vertical="center"/>
    </xf>
    <xf numFmtId="3" fontId="2" fillId="0" borderId="12" xfId="0" applyNumberFormat="1" applyFont="1" applyFill="1" applyBorder="1" applyAlignment="1">
      <alignment vertical="center"/>
    </xf>
    <xf numFmtId="1" fontId="2" fillId="0" borderId="16" xfId="0" applyNumberFormat="1" applyFont="1" applyBorder="1">
      <alignment vertical="center"/>
    </xf>
    <xf numFmtId="3" fontId="2" fillId="2" borderId="14" xfId="0" applyNumberFormat="1" applyFont="1" applyFill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" fontId="2" fillId="0" borderId="1" xfId="0" applyNumberFormat="1" applyFont="1" applyBorder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" fontId="2" fillId="2" borderId="1" xfId="0" applyNumberFormat="1" applyFont="1" applyFill="1" applyBorder="1">
      <alignment vertical="center"/>
    </xf>
    <xf numFmtId="3" fontId="2" fillId="0" borderId="18" xfId="0" applyNumberFormat="1" applyFont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" fontId="2" fillId="0" borderId="14" xfId="0" applyNumberFormat="1" applyFont="1" applyBorder="1">
      <alignment vertical="center"/>
    </xf>
    <xf numFmtId="3" fontId="4" fillId="0" borderId="12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left" vertical="center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>
      <alignment vertical="center"/>
    </xf>
    <xf numFmtId="3" fontId="0" fillId="3" borderId="0" xfId="0" applyNumberFormat="1" applyFont="1" applyFill="1" applyAlignment="1">
      <alignment vertical="top"/>
    </xf>
    <xf numFmtId="3" fontId="0" fillId="3" borderId="0" xfId="0" applyNumberFormat="1" applyFont="1" applyFill="1" applyAlignment="1">
      <alignment horizontal="center" vertical="top"/>
    </xf>
    <xf numFmtId="3" fontId="0" fillId="0" borderId="0" xfId="0" applyNumberFormat="1" applyFont="1" applyFill="1" applyAlignment="1">
      <alignment horizontal="right" vertical="top"/>
    </xf>
    <xf numFmtId="3" fontId="0" fillId="0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>
      <alignment vertical="center"/>
    </xf>
    <xf numFmtId="10" fontId="0" fillId="3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vertical="center"/>
    </xf>
    <xf numFmtId="49" fontId="0" fillId="0" borderId="1" xfId="54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0" fillId="3" borderId="1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0" fillId="3" borderId="0" xfId="0" applyNumberFormat="1" applyFont="1" applyFill="1">
      <alignment vertical="center"/>
    </xf>
    <xf numFmtId="3" fontId="3" fillId="0" borderId="1" xfId="0" applyNumberFormat="1" applyFont="1" applyFill="1" applyBorder="1">
      <alignment vertical="center"/>
    </xf>
    <xf numFmtId="3" fontId="22" fillId="0" borderId="1" xfId="0" applyNumberFormat="1" applyFont="1" applyFill="1" applyBorder="1" applyAlignment="1">
      <alignment vertical="center" wrapText="1"/>
    </xf>
    <xf numFmtId="3" fontId="10" fillId="0" borderId="14" xfId="0" applyNumberFormat="1" applyFont="1" applyBorder="1" applyAlignment="1">
      <alignment horizontal="left" vertical="center"/>
    </xf>
    <xf numFmtId="3" fontId="0" fillId="0" borderId="1" xfId="0" applyNumberFormat="1" applyBorder="1">
      <alignment vertical="center"/>
    </xf>
    <xf numFmtId="3" fontId="5" fillId="0" borderId="1" xfId="0" applyNumberFormat="1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好_2016收入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2016收入" xfId="50"/>
    <cellStyle name="常规 3" xfId="51"/>
    <cellStyle name="差_2016支出" xfId="52"/>
    <cellStyle name="常规 2" xfId="53"/>
    <cellStyle name="常规_预算07年预算支出" xfId="54"/>
    <cellStyle name="好_2016支出" xfId="55"/>
  </cellStyles>
  <tableStyles count="0" defaultTableStyle="TableStyleMedium9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39.125" style="195" customWidth="1"/>
    <col min="2" max="2" width="13.75" style="194" customWidth="1"/>
    <col min="3" max="3" width="14" style="194" customWidth="1"/>
    <col min="4" max="4" width="13" style="195" customWidth="1"/>
    <col min="5" max="5" width="14.875" style="195" customWidth="1"/>
    <col min="6" max="6" width="22.625" style="195" customWidth="1"/>
    <col min="7" max="7" width="8.5" style="195" hidden="1" customWidth="1"/>
    <col min="8" max="10" width="9" style="195" hidden="1" customWidth="1"/>
    <col min="11" max="256" width="9" style="195"/>
    <col min="257" max="257" width="39.125" style="195" customWidth="1"/>
    <col min="258" max="258" width="13.75" style="195" customWidth="1"/>
    <col min="259" max="259" width="14" style="195" customWidth="1"/>
    <col min="260" max="260" width="13" style="195" customWidth="1"/>
    <col min="261" max="261" width="14.875" style="195" customWidth="1"/>
    <col min="262" max="262" width="22.625" style="195" customWidth="1"/>
    <col min="263" max="266" width="9" style="195" hidden="1" customWidth="1"/>
    <col min="267" max="512" width="9" style="195"/>
    <col min="513" max="513" width="39.125" style="195" customWidth="1"/>
    <col min="514" max="514" width="13.75" style="195" customWidth="1"/>
    <col min="515" max="515" width="14" style="195" customWidth="1"/>
    <col min="516" max="516" width="13" style="195" customWidth="1"/>
    <col min="517" max="517" width="14.875" style="195" customWidth="1"/>
    <col min="518" max="518" width="22.625" style="195" customWidth="1"/>
    <col min="519" max="522" width="9" style="195" hidden="1" customWidth="1"/>
    <col min="523" max="768" width="9" style="195"/>
    <col min="769" max="769" width="39.125" style="195" customWidth="1"/>
    <col min="770" max="770" width="13.75" style="195" customWidth="1"/>
    <col min="771" max="771" width="14" style="195" customWidth="1"/>
    <col min="772" max="772" width="13" style="195" customWidth="1"/>
    <col min="773" max="773" width="14.875" style="195" customWidth="1"/>
    <col min="774" max="774" width="22.625" style="195" customWidth="1"/>
    <col min="775" max="778" width="9" style="195" hidden="1" customWidth="1"/>
    <col min="779" max="1024" width="9" style="195"/>
    <col min="1025" max="1025" width="39.125" style="195" customWidth="1"/>
    <col min="1026" max="1026" width="13.75" style="195" customWidth="1"/>
    <col min="1027" max="1027" width="14" style="195" customWidth="1"/>
    <col min="1028" max="1028" width="13" style="195" customWidth="1"/>
    <col min="1029" max="1029" width="14.875" style="195" customWidth="1"/>
    <col min="1030" max="1030" width="22.625" style="195" customWidth="1"/>
    <col min="1031" max="1034" width="9" style="195" hidden="1" customWidth="1"/>
    <col min="1035" max="1280" width="9" style="195"/>
    <col min="1281" max="1281" width="39.125" style="195" customWidth="1"/>
    <col min="1282" max="1282" width="13.75" style="195" customWidth="1"/>
    <col min="1283" max="1283" width="14" style="195" customWidth="1"/>
    <col min="1284" max="1284" width="13" style="195" customWidth="1"/>
    <col min="1285" max="1285" width="14.875" style="195" customWidth="1"/>
    <col min="1286" max="1286" width="22.625" style="195" customWidth="1"/>
    <col min="1287" max="1290" width="9" style="195" hidden="1" customWidth="1"/>
    <col min="1291" max="1536" width="9" style="195"/>
    <col min="1537" max="1537" width="39.125" style="195" customWidth="1"/>
    <col min="1538" max="1538" width="13.75" style="195" customWidth="1"/>
    <col min="1539" max="1539" width="14" style="195" customWidth="1"/>
    <col min="1540" max="1540" width="13" style="195" customWidth="1"/>
    <col min="1541" max="1541" width="14.875" style="195" customWidth="1"/>
    <col min="1542" max="1542" width="22.625" style="195" customWidth="1"/>
    <col min="1543" max="1546" width="9" style="195" hidden="1" customWidth="1"/>
    <col min="1547" max="1792" width="9" style="195"/>
    <col min="1793" max="1793" width="39.125" style="195" customWidth="1"/>
    <col min="1794" max="1794" width="13.75" style="195" customWidth="1"/>
    <col min="1795" max="1795" width="14" style="195" customWidth="1"/>
    <col min="1796" max="1796" width="13" style="195" customWidth="1"/>
    <col min="1797" max="1797" width="14.875" style="195" customWidth="1"/>
    <col min="1798" max="1798" width="22.625" style="195" customWidth="1"/>
    <col min="1799" max="1802" width="9" style="195" hidden="1" customWidth="1"/>
    <col min="1803" max="2048" width="9" style="195"/>
    <col min="2049" max="2049" width="39.125" style="195" customWidth="1"/>
    <col min="2050" max="2050" width="13.75" style="195" customWidth="1"/>
    <col min="2051" max="2051" width="14" style="195" customWidth="1"/>
    <col min="2052" max="2052" width="13" style="195" customWidth="1"/>
    <col min="2053" max="2053" width="14.875" style="195" customWidth="1"/>
    <col min="2054" max="2054" width="22.625" style="195" customWidth="1"/>
    <col min="2055" max="2058" width="9" style="195" hidden="1" customWidth="1"/>
    <col min="2059" max="2304" width="9" style="195"/>
    <col min="2305" max="2305" width="39.125" style="195" customWidth="1"/>
    <col min="2306" max="2306" width="13.75" style="195" customWidth="1"/>
    <col min="2307" max="2307" width="14" style="195" customWidth="1"/>
    <col min="2308" max="2308" width="13" style="195" customWidth="1"/>
    <col min="2309" max="2309" width="14.875" style="195" customWidth="1"/>
    <col min="2310" max="2310" width="22.625" style="195" customWidth="1"/>
    <col min="2311" max="2314" width="9" style="195" hidden="1" customWidth="1"/>
    <col min="2315" max="2560" width="9" style="195"/>
    <col min="2561" max="2561" width="39.125" style="195" customWidth="1"/>
    <col min="2562" max="2562" width="13.75" style="195" customWidth="1"/>
    <col min="2563" max="2563" width="14" style="195" customWidth="1"/>
    <col min="2564" max="2564" width="13" style="195" customWidth="1"/>
    <col min="2565" max="2565" width="14.875" style="195" customWidth="1"/>
    <col min="2566" max="2566" width="22.625" style="195" customWidth="1"/>
    <col min="2567" max="2570" width="9" style="195" hidden="1" customWidth="1"/>
    <col min="2571" max="2816" width="9" style="195"/>
    <col min="2817" max="2817" width="39.125" style="195" customWidth="1"/>
    <col min="2818" max="2818" width="13.75" style="195" customWidth="1"/>
    <col min="2819" max="2819" width="14" style="195" customWidth="1"/>
    <col min="2820" max="2820" width="13" style="195" customWidth="1"/>
    <col min="2821" max="2821" width="14.875" style="195" customWidth="1"/>
    <col min="2822" max="2822" width="22.625" style="195" customWidth="1"/>
    <col min="2823" max="2826" width="9" style="195" hidden="1" customWidth="1"/>
    <col min="2827" max="3072" width="9" style="195"/>
    <col min="3073" max="3073" width="39.125" style="195" customWidth="1"/>
    <col min="3074" max="3074" width="13.75" style="195" customWidth="1"/>
    <col min="3075" max="3075" width="14" style="195" customWidth="1"/>
    <col min="3076" max="3076" width="13" style="195" customWidth="1"/>
    <col min="3077" max="3077" width="14.875" style="195" customWidth="1"/>
    <col min="3078" max="3078" width="22.625" style="195" customWidth="1"/>
    <col min="3079" max="3082" width="9" style="195" hidden="1" customWidth="1"/>
    <col min="3083" max="3328" width="9" style="195"/>
    <col min="3329" max="3329" width="39.125" style="195" customWidth="1"/>
    <col min="3330" max="3330" width="13.75" style="195" customWidth="1"/>
    <col min="3331" max="3331" width="14" style="195" customWidth="1"/>
    <col min="3332" max="3332" width="13" style="195" customWidth="1"/>
    <col min="3333" max="3333" width="14.875" style="195" customWidth="1"/>
    <col min="3334" max="3334" width="22.625" style="195" customWidth="1"/>
    <col min="3335" max="3338" width="9" style="195" hidden="1" customWidth="1"/>
    <col min="3339" max="3584" width="9" style="195"/>
    <col min="3585" max="3585" width="39.125" style="195" customWidth="1"/>
    <col min="3586" max="3586" width="13.75" style="195" customWidth="1"/>
    <col min="3587" max="3587" width="14" style="195" customWidth="1"/>
    <col min="3588" max="3588" width="13" style="195" customWidth="1"/>
    <col min="3589" max="3589" width="14.875" style="195" customWidth="1"/>
    <col min="3590" max="3590" width="22.625" style="195" customWidth="1"/>
    <col min="3591" max="3594" width="9" style="195" hidden="1" customWidth="1"/>
    <col min="3595" max="3840" width="9" style="195"/>
    <col min="3841" max="3841" width="39.125" style="195" customWidth="1"/>
    <col min="3842" max="3842" width="13.75" style="195" customWidth="1"/>
    <col min="3843" max="3843" width="14" style="195" customWidth="1"/>
    <col min="3844" max="3844" width="13" style="195" customWidth="1"/>
    <col min="3845" max="3845" width="14.875" style="195" customWidth="1"/>
    <col min="3846" max="3846" width="22.625" style="195" customWidth="1"/>
    <col min="3847" max="3850" width="9" style="195" hidden="1" customWidth="1"/>
    <col min="3851" max="4096" width="9" style="195"/>
    <col min="4097" max="4097" width="39.125" style="195" customWidth="1"/>
    <col min="4098" max="4098" width="13.75" style="195" customWidth="1"/>
    <col min="4099" max="4099" width="14" style="195" customWidth="1"/>
    <col min="4100" max="4100" width="13" style="195" customWidth="1"/>
    <col min="4101" max="4101" width="14.875" style="195" customWidth="1"/>
    <col min="4102" max="4102" width="22.625" style="195" customWidth="1"/>
    <col min="4103" max="4106" width="9" style="195" hidden="1" customWidth="1"/>
    <col min="4107" max="4352" width="9" style="195"/>
    <col min="4353" max="4353" width="39.125" style="195" customWidth="1"/>
    <col min="4354" max="4354" width="13.75" style="195" customWidth="1"/>
    <col min="4355" max="4355" width="14" style="195" customWidth="1"/>
    <col min="4356" max="4356" width="13" style="195" customWidth="1"/>
    <col min="4357" max="4357" width="14.875" style="195" customWidth="1"/>
    <col min="4358" max="4358" width="22.625" style="195" customWidth="1"/>
    <col min="4359" max="4362" width="9" style="195" hidden="1" customWidth="1"/>
    <col min="4363" max="4608" width="9" style="195"/>
    <col min="4609" max="4609" width="39.125" style="195" customWidth="1"/>
    <col min="4610" max="4610" width="13.75" style="195" customWidth="1"/>
    <col min="4611" max="4611" width="14" style="195" customWidth="1"/>
    <col min="4612" max="4612" width="13" style="195" customWidth="1"/>
    <col min="4613" max="4613" width="14.875" style="195" customWidth="1"/>
    <col min="4614" max="4614" width="22.625" style="195" customWidth="1"/>
    <col min="4615" max="4618" width="9" style="195" hidden="1" customWidth="1"/>
    <col min="4619" max="4864" width="9" style="195"/>
    <col min="4865" max="4865" width="39.125" style="195" customWidth="1"/>
    <col min="4866" max="4866" width="13.75" style="195" customWidth="1"/>
    <col min="4867" max="4867" width="14" style="195" customWidth="1"/>
    <col min="4868" max="4868" width="13" style="195" customWidth="1"/>
    <col min="4869" max="4869" width="14.875" style="195" customWidth="1"/>
    <col min="4870" max="4870" width="22.625" style="195" customWidth="1"/>
    <col min="4871" max="4874" width="9" style="195" hidden="1" customWidth="1"/>
    <col min="4875" max="5120" width="9" style="195"/>
    <col min="5121" max="5121" width="39.125" style="195" customWidth="1"/>
    <col min="5122" max="5122" width="13.75" style="195" customWidth="1"/>
    <col min="5123" max="5123" width="14" style="195" customWidth="1"/>
    <col min="5124" max="5124" width="13" style="195" customWidth="1"/>
    <col min="5125" max="5125" width="14.875" style="195" customWidth="1"/>
    <col min="5126" max="5126" width="22.625" style="195" customWidth="1"/>
    <col min="5127" max="5130" width="9" style="195" hidden="1" customWidth="1"/>
    <col min="5131" max="5376" width="9" style="195"/>
    <col min="5377" max="5377" width="39.125" style="195" customWidth="1"/>
    <col min="5378" max="5378" width="13.75" style="195" customWidth="1"/>
    <col min="5379" max="5379" width="14" style="195" customWidth="1"/>
    <col min="5380" max="5380" width="13" style="195" customWidth="1"/>
    <col min="5381" max="5381" width="14.875" style="195" customWidth="1"/>
    <col min="5382" max="5382" width="22.625" style="195" customWidth="1"/>
    <col min="5383" max="5386" width="9" style="195" hidden="1" customWidth="1"/>
    <col min="5387" max="5632" width="9" style="195"/>
    <col min="5633" max="5633" width="39.125" style="195" customWidth="1"/>
    <col min="5634" max="5634" width="13.75" style="195" customWidth="1"/>
    <col min="5635" max="5635" width="14" style="195" customWidth="1"/>
    <col min="5636" max="5636" width="13" style="195" customWidth="1"/>
    <col min="5637" max="5637" width="14.875" style="195" customWidth="1"/>
    <col min="5638" max="5638" width="22.625" style="195" customWidth="1"/>
    <col min="5639" max="5642" width="9" style="195" hidden="1" customWidth="1"/>
    <col min="5643" max="5888" width="9" style="195"/>
    <col min="5889" max="5889" width="39.125" style="195" customWidth="1"/>
    <col min="5890" max="5890" width="13.75" style="195" customWidth="1"/>
    <col min="5891" max="5891" width="14" style="195" customWidth="1"/>
    <col min="5892" max="5892" width="13" style="195" customWidth="1"/>
    <col min="5893" max="5893" width="14.875" style="195" customWidth="1"/>
    <col min="5894" max="5894" width="22.625" style="195" customWidth="1"/>
    <col min="5895" max="5898" width="9" style="195" hidden="1" customWidth="1"/>
    <col min="5899" max="6144" width="9" style="195"/>
    <col min="6145" max="6145" width="39.125" style="195" customWidth="1"/>
    <col min="6146" max="6146" width="13.75" style="195" customWidth="1"/>
    <col min="6147" max="6147" width="14" style="195" customWidth="1"/>
    <col min="6148" max="6148" width="13" style="195" customWidth="1"/>
    <col min="6149" max="6149" width="14.875" style="195" customWidth="1"/>
    <col min="6150" max="6150" width="22.625" style="195" customWidth="1"/>
    <col min="6151" max="6154" width="9" style="195" hidden="1" customWidth="1"/>
    <col min="6155" max="6400" width="9" style="195"/>
    <col min="6401" max="6401" width="39.125" style="195" customWidth="1"/>
    <col min="6402" max="6402" width="13.75" style="195" customWidth="1"/>
    <col min="6403" max="6403" width="14" style="195" customWidth="1"/>
    <col min="6404" max="6404" width="13" style="195" customWidth="1"/>
    <col min="6405" max="6405" width="14.875" style="195" customWidth="1"/>
    <col min="6406" max="6406" width="22.625" style="195" customWidth="1"/>
    <col min="6407" max="6410" width="9" style="195" hidden="1" customWidth="1"/>
    <col min="6411" max="6656" width="9" style="195"/>
    <col min="6657" max="6657" width="39.125" style="195" customWidth="1"/>
    <col min="6658" max="6658" width="13.75" style="195" customWidth="1"/>
    <col min="6659" max="6659" width="14" style="195" customWidth="1"/>
    <col min="6660" max="6660" width="13" style="195" customWidth="1"/>
    <col min="6661" max="6661" width="14.875" style="195" customWidth="1"/>
    <col min="6662" max="6662" width="22.625" style="195" customWidth="1"/>
    <col min="6663" max="6666" width="9" style="195" hidden="1" customWidth="1"/>
    <col min="6667" max="6912" width="9" style="195"/>
    <col min="6913" max="6913" width="39.125" style="195" customWidth="1"/>
    <col min="6914" max="6914" width="13.75" style="195" customWidth="1"/>
    <col min="6915" max="6915" width="14" style="195" customWidth="1"/>
    <col min="6916" max="6916" width="13" style="195" customWidth="1"/>
    <col min="6917" max="6917" width="14.875" style="195" customWidth="1"/>
    <col min="6918" max="6918" width="22.625" style="195" customWidth="1"/>
    <col min="6919" max="6922" width="9" style="195" hidden="1" customWidth="1"/>
    <col min="6923" max="7168" width="9" style="195"/>
    <col min="7169" max="7169" width="39.125" style="195" customWidth="1"/>
    <col min="7170" max="7170" width="13.75" style="195" customWidth="1"/>
    <col min="7171" max="7171" width="14" style="195" customWidth="1"/>
    <col min="7172" max="7172" width="13" style="195" customWidth="1"/>
    <col min="7173" max="7173" width="14.875" style="195" customWidth="1"/>
    <col min="7174" max="7174" width="22.625" style="195" customWidth="1"/>
    <col min="7175" max="7178" width="9" style="195" hidden="1" customWidth="1"/>
    <col min="7179" max="7424" width="9" style="195"/>
    <col min="7425" max="7425" width="39.125" style="195" customWidth="1"/>
    <col min="7426" max="7426" width="13.75" style="195" customWidth="1"/>
    <col min="7427" max="7427" width="14" style="195" customWidth="1"/>
    <col min="7428" max="7428" width="13" style="195" customWidth="1"/>
    <col min="7429" max="7429" width="14.875" style="195" customWidth="1"/>
    <col min="7430" max="7430" width="22.625" style="195" customWidth="1"/>
    <col min="7431" max="7434" width="9" style="195" hidden="1" customWidth="1"/>
    <col min="7435" max="7680" width="9" style="195"/>
    <col min="7681" max="7681" width="39.125" style="195" customWidth="1"/>
    <col min="7682" max="7682" width="13.75" style="195" customWidth="1"/>
    <col min="7683" max="7683" width="14" style="195" customWidth="1"/>
    <col min="7684" max="7684" width="13" style="195" customWidth="1"/>
    <col min="7685" max="7685" width="14.875" style="195" customWidth="1"/>
    <col min="7686" max="7686" width="22.625" style="195" customWidth="1"/>
    <col min="7687" max="7690" width="9" style="195" hidden="1" customWidth="1"/>
    <col min="7691" max="7936" width="9" style="195"/>
    <col min="7937" max="7937" width="39.125" style="195" customWidth="1"/>
    <col min="7938" max="7938" width="13.75" style="195" customWidth="1"/>
    <col min="7939" max="7939" width="14" style="195" customWidth="1"/>
    <col min="7940" max="7940" width="13" style="195" customWidth="1"/>
    <col min="7941" max="7941" width="14.875" style="195" customWidth="1"/>
    <col min="7942" max="7942" width="22.625" style="195" customWidth="1"/>
    <col min="7943" max="7946" width="9" style="195" hidden="1" customWidth="1"/>
    <col min="7947" max="8192" width="9" style="195"/>
    <col min="8193" max="8193" width="39.125" style="195" customWidth="1"/>
    <col min="8194" max="8194" width="13.75" style="195" customWidth="1"/>
    <col min="8195" max="8195" width="14" style="195" customWidth="1"/>
    <col min="8196" max="8196" width="13" style="195" customWidth="1"/>
    <col min="8197" max="8197" width="14.875" style="195" customWidth="1"/>
    <col min="8198" max="8198" width="22.625" style="195" customWidth="1"/>
    <col min="8199" max="8202" width="9" style="195" hidden="1" customWidth="1"/>
    <col min="8203" max="8448" width="9" style="195"/>
    <col min="8449" max="8449" width="39.125" style="195" customWidth="1"/>
    <col min="8450" max="8450" width="13.75" style="195" customWidth="1"/>
    <col min="8451" max="8451" width="14" style="195" customWidth="1"/>
    <col min="8452" max="8452" width="13" style="195" customWidth="1"/>
    <col min="8453" max="8453" width="14.875" style="195" customWidth="1"/>
    <col min="8454" max="8454" width="22.625" style="195" customWidth="1"/>
    <col min="8455" max="8458" width="9" style="195" hidden="1" customWidth="1"/>
    <col min="8459" max="8704" width="9" style="195"/>
    <col min="8705" max="8705" width="39.125" style="195" customWidth="1"/>
    <col min="8706" max="8706" width="13.75" style="195" customWidth="1"/>
    <col min="8707" max="8707" width="14" style="195" customWidth="1"/>
    <col min="8708" max="8708" width="13" style="195" customWidth="1"/>
    <col min="8709" max="8709" width="14.875" style="195" customWidth="1"/>
    <col min="8710" max="8710" width="22.625" style="195" customWidth="1"/>
    <col min="8711" max="8714" width="9" style="195" hidden="1" customWidth="1"/>
    <col min="8715" max="8960" width="9" style="195"/>
    <col min="8961" max="8961" width="39.125" style="195" customWidth="1"/>
    <col min="8962" max="8962" width="13.75" style="195" customWidth="1"/>
    <col min="8963" max="8963" width="14" style="195" customWidth="1"/>
    <col min="8964" max="8964" width="13" style="195" customWidth="1"/>
    <col min="8965" max="8965" width="14.875" style="195" customWidth="1"/>
    <col min="8966" max="8966" width="22.625" style="195" customWidth="1"/>
    <col min="8967" max="8970" width="9" style="195" hidden="1" customWidth="1"/>
    <col min="8971" max="9216" width="9" style="195"/>
    <col min="9217" max="9217" width="39.125" style="195" customWidth="1"/>
    <col min="9218" max="9218" width="13.75" style="195" customWidth="1"/>
    <col min="9219" max="9219" width="14" style="195" customWidth="1"/>
    <col min="9220" max="9220" width="13" style="195" customWidth="1"/>
    <col min="9221" max="9221" width="14.875" style="195" customWidth="1"/>
    <col min="9222" max="9222" width="22.625" style="195" customWidth="1"/>
    <col min="9223" max="9226" width="9" style="195" hidden="1" customWidth="1"/>
    <col min="9227" max="9472" width="9" style="195"/>
    <col min="9473" max="9473" width="39.125" style="195" customWidth="1"/>
    <col min="9474" max="9474" width="13.75" style="195" customWidth="1"/>
    <col min="9475" max="9475" width="14" style="195" customWidth="1"/>
    <col min="9476" max="9476" width="13" style="195" customWidth="1"/>
    <col min="9477" max="9477" width="14.875" style="195" customWidth="1"/>
    <col min="9478" max="9478" width="22.625" style="195" customWidth="1"/>
    <col min="9479" max="9482" width="9" style="195" hidden="1" customWidth="1"/>
    <col min="9483" max="9728" width="9" style="195"/>
    <col min="9729" max="9729" width="39.125" style="195" customWidth="1"/>
    <col min="9730" max="9730" width="13.75" style="195" customWidth="1"/>
    <col min="9731" max="9731" width="14" style="195" customWidth="1"/>
    <col min="9732" max="9732" width="13" style="195" customWidth="1"/>
    <col min="9733" max="9733" width="14.875" style="195" customWidth="1"/>
    <col min="9734" max="9734" width="22.625" style="195" customWidth="1"/>
    <col min="9735" max="9738" width="9" style="195" hidden="1" customWidth="1"/>
    <col min="9739" max="9984" width="9" style="195"/>
    <col min="9985" max="9985" width="39.125" style="195" customWidth="1"/>
    <col min="9986" max="9986" width="13.75" style="195" customWidth="1"/>
    <col min="9987" max="9987" width="14" style="195" customWidth="1"/>
    <col min="9988" max="9988" width="13" style="195" customWidth="1"/>
    <col min="9989" max="9989" width="14.875" style="195" customWidth="1"/>
    <col min="9990" max="9990" width="22.625" style="195" customWidth="1"/>
    <col min="9991" max="9994" width="9" style="195" hidden="1" customWidth="1"/>
    <col min="9995" max="10240" width="9" style="195"/>
    <col min="10241" max="10241" width="39.125" style="195" customWidth="1"/>
    <col min="10242" max="10242" width="13.75" style="195" customWidth="1"/>
    <col min="10243" max="10243" width="14" style="195" customWidth="1"/>
    <col min="10244" max="10244" width="13" style="195" customWidth="1"/>
    <col min="10245" max="10245" width="14.875" style="195" customWidth="1"/>
    <col min="10246" max="10246" width="22.625" style="195" customWidth="1"/>
    <col min="10247" max="10250" width="9" style="195" hidden="1" customWidth="1"/>
    <col min="10251" max="10496" width="9" style="195"/>
    <col min="10497" max="10497" width="39.125" style="195" customWidth="1"/>
    <col min="10498" max="10498" width="13.75" style="195" customWidth="1"/>
    <col min="10499" max="10499" width="14" style="195" customWidth="1"/>
    <col min="10500" max="10500" width="13" style="195" customWidth="1"/>
    <col min="10501" max="10501" width="14.875" style="195" customWidth="1"/>
    <col min="10502" max="10502" width="22.625" style="195" customWidth="1"/>
    <col min="10503" max="10506" width="9" style="195" hidden="1" customWidth="1"/>
    <col min="10507" max="10752" width="9" style="195"/>
    <col min="10753" max="10753" width="39.125" style="195" customWidth="1"/>
    <col min="10754" max="10754" width="13.75" style="195" customWidth="1"/>
    <col min="10755" max="10755" width="14" style="195" customWidth="1"/>
    <col min="10756" max="10756" width="13" style="195" customWidth="1"/>
    <col min="10757" max="10757" width="14.875" style="195" customWidth="1"/>
    <col min="10758" max="10758" width="22.625" style="195" customWidth="1"/>
    <col min="10759" max="10762" width="9" style="195" hidden="1" customWidth="1"/>
    <col min="10763" max="11008" width="9" style="195"/>
    <col min="11009" max="11009" width="39.125" style="195" customWidth="1"/>
    <col min="11010" max="11010" width="13.75" style="195" customWidth="1"/>
    <col min="11011" max="11011" width="14" style="195" customWidth="1"/>
    <col min="11012" max="11012" width="13" style="195" customWidth="1"/>
    <col min="11013" max="11013" width="14.875" style="195" customWidth="1"/>
    <col min="11014" max="11014" width="22.625" style="195" customWidth="1"/>
    <col min="11015" max="11018" width="9" style="195" hidden="1" customWidth="1"/>
    <col min="11019" max="11264" width="9" style="195"/>
    <col min="11265" max="11265" width="39.125" style="195" customWidth="1"/>
    <col min="11266" max="11266" width="13.75" style="195" customWidth="1"/>
    <col min="11267" max="11267" width="14" style="195" customWidth="1"/>
    <col min="11268" max="11268" width="13" style="195" customWidth="1"/>
    <col min="11269" max="11269" width="14.875" style="195" customWidth="1"/>
    <col min="11270" max="11270" width="22.625" style="195" customWidth="1"/>
    <col min="11271" max="11274" width="9" style="195" hidden="1" customWidth="1"/>
    <col min="11275" max="11520" width="9" style="195"/>
    <col min="11521" max="11521" width="39.125" style="195" customWidth="1"/>
    <col min="11522" max="11522" width="13.75" style="195" customWidth="1"/>
    <col min="11523" max="11523" width="14" style="195" customWidth="1"/>
    <col min="11524" max="11524" width="13" style="195" customWidth="1"/>
    <col min="11525" max="11525" width="14.875" style="195" customWidth="1"/>
    <col min="11526" max="11526" width="22.625" style="195" customWidth="1"/>
    <col min="11527" max="11530" width="9" style="195" hidden="1" customWidth="1"/>
    <col min="11531" max="11776" width="9" style="195"/>
    <col min="11777" max="11777" width="39.125" style="195" customWidth="1"/>
    <col min="11778" max="11778" width="13.75" style="195" customWidth="1"/>
    <col min="11779" max="11779" width="14" style="195" customWidth="1"/>
    <col min="11780" max="11780" width="13" style="195" customWidth="1"/>
    <col min="11781" max="11781" width="14.875" style="195" customWidth="1"/>
    <col min="11782" max="11782" width="22.625" style="195" customWidth="1"/>
    <col min="11783" max="11786" width="9" style="195" hidden="1" customWidth="1"/>
    <col min="11787" max="12032" width="9" style="195"/>
    <col min="12033" max="12033" width="39.125" style="195" customWidth="1"/>
    <col min="12034" max="12034" width="13.75" style="195" customWidth="1"/>
    <col min="12035" max="12035" width="14" style="195" customWidth="1"/>
    <col min="12036" max="12036" width="13" style="195" customWidth="1"/>
    <col min="12037" max="12037" width="14.875" style="195" customWidth="1"/>
    <col min="12038" max="12038" width="22.625" style="195" customWidth="1"/>
    <col min="12039" max="12042" width="9" style="195" hidden="1" customWidth="1"/>
    <col min="12043" max="12288" width="9" style="195"/>
    <col min="12289" max="12289" width="39.125" style="195" customWidth="1"/>
    <col min="12290" max="12290" width="13.75" style="195" customWidth="1"/>
    <col min="12291" max="12291" width="14" style="195" customWidth="1"/>
    <col min="12292" max="12292" width="13" style="195" customWidth="1"/>
    <col min="12293" max="12293" width="14.875" style="195" customWidth="1"/>
    <col min="12294" max="12294" width="22.625" style="195" customWidth="1"/>
    <col min="12295" max="12298" width="9" style="195" hidden="1" customWidth="1"/>
    <col min="12299" max="12544" width="9" style="195"/>
    <col min="12545" max="12545" width="39.125" style="195" customWidth="1"/>
    <col min="12546" max="12546" width="13.75" style="195" customWidth="1"/>
    <col min="12547" max="12547" width="14" style="195" customWidth="1"/>
    <col min="12548" max="12548" width="13" style="195" customWidth="1"/>
    <col min="12549" max="12549" width="14.875" style="195" customWidth="1"/>
    <col min="12550" max="12550" width="22.625" style="195" customWidth="1"/>
    <col min="12551" max="12554" width="9" style="195" hidden="1" customWidth="1"/>
    <col min="12555" max="12800" width="9" style="195"/>
    <col min="12801" max="12801" width="39.125" style="195" customWidth="1"/>
    <col min="12802" max="12802" width="13.75" style="195" customWidth="1"/>
    <col min="12803" max="12803" width="14" style="195" customWidth="1"/>
    <col min="12804" max="12804" width="13" style="195" customWidth="1"/>
    <col min="12805" max="12805" width="14.875" style="195" customWidth="1"/>
    <col min="12806" max="12806" width="22.625" style="195" customWidth="1"/>
    <col min="12807" max="12810" width="9" style="195" hidden="1" customWidth="1"/>
    <col min="12811" max="13056" width="9" style="195"/>
    <col min="13057" max="13057" width="39.125" style="195" customWidth="1"/>
    <col min="13058" max="13058" width="13.75" style="195" customWidth="1"/>
    <col min="13059" max="13059" width="14" style="195" customWidth="1"/>
    <col min="13060" max="13060" width="13" style="195" customWidth="1"/>
    <col min="13061" max="13061" width="14.875" style="195" customWidth="1"/>
    <col min="13062" max="13062" width="22.625" style="195" customWidth="1"/>
    <col min="13063" max="13066" width="9" style="195" hidden="1" customWidth="1"/>
    <col min="13067" max="13312" width="9" style="195"/>
    <col min="13313" max="13313" width="39.125" style="195" customWidth="1"/>
    <col min="13314" max="13314" width="13.75" style="195" customWidth="1"/>
    <col min="13315" max="13315" width="14" style="195" customWidth="1"/>
    <col min="13316" max="13316" width="13" style="195" customWidth="1"/>
    <col min="13317" max="13317" width="14.875" style="195" customWidth="1"/>
    <col min="13318" max="13318" width="22.625" style="195" customWidth="1"/>
    <col min="13319" max="13322" width="9" style="195" hidden="1" customWidth="1"/>
    <col min="13323" max="13568" width="9" style="195"/>
    <col min="13569" max="13569" width="39.125" style="195" customWidth="1"/>
    <col min="13570" max="13570" width="13.75" style="195" customWidth="1"/>
    <col min="13571" max="13571" width="14" style="195" customWidth="1"/>
    <col min="13572" max="13572" width="13" style="195" customWidth="1"/>
    <col min="13573" max="13573" width="14.875" style="195" customWidth="1"/>
    <col min="13574" max="13574" width="22.625" style="195" customWidth="1"/>
    <col min="13575" max="13578" width="9" style="195" hidden="1" customWidth="1"/>
    <col min="13579" max="13824" width="9" style="195"/>
    <col min="13825" max="13825" width="39.125" style="195" customWidth="1"/>
    <col min="13826" max="13826" width="13.75" style="195" customWidth="1"/>
    <col min="13827" max="13827" width="14" style="195" customWidth="1"/>
    <col min="13828" max="13828" width="13" style="195" customWidth="1"/>
    <col min="13829" max="13829" width="14.875" style="195" customWidth="1"/>
    <col min="13830" max="13830" width="22.625" style="195" customWidth="1"/>
    <col min="13831" max="13834" width="9" style="195" hidden="1" customWidth="1"/>
    <col min="13835" max="14080" width="9" style="195"/>
    <col min="14081" max="14081" width="39.125" style="195" customWidth="1"/>
    <col min="14082" max="14082" width="13.75" style="195" customWidth="1"/>
    <col min="14083" max="14083" width="14" style="195" customWidth="1"/>
    <col min="14084" max="14084" width="13" style="195" customWidth="1"/>
    <col min="14085" max="14085" width="14.875" style="195" customWidth="1"/>
    <col min="14086" max="14086" width="22.625" style="195" customWidth="1"/>
    <col min="14087" max="14090" width="9" style="195" hidden="1" customWidth="1"/>
    <col min="14091" max="14336" width="9" style="195"/>
    <col min="14337" max="14337" width="39.125" style="195" customWidth="1"/>
    <col min="14338" max="14338" width="13.75" style="195" customWidth="1"/>
    <col min="14339" max="14339" width="14" style="195" customWidth="1"/>
    <col min="14340" max="14340" width="13" style="195" customWidth="1"/>
    <col min="14341" max="14341" width="14.875" style="195" customWidth="1"/>
    <col min="14342" max="14342" width="22.625" style="195" customWidth="1"/>
    <col min="14343" max="14346" width="9" style="195" hidden="1" customWidth="1"/>
    <col min="14347" max="14592" width="9" style="195"/>
    <col min="14593" max="14593" width="39.125" style="195" customWidth="1"/>
    <col min="14594" max="14594" width="13.75" style="195" customWidth="1"/>
    <col min="14595" max="14595" width="14" style="195" customWidth="1"/>
    <col min="14596" max="14596" width="13" style="195" customWidth="1"/>
    <col min="14597" max="14597" width="14.875" style="195" customWidth="1"/>
    <col min="14598" max="14598" width="22.625" style="195" customWidth="1"/>
    <col min="14599" max="14602" width="9" style="195" hidden="1" customWidth="1"/>
    <col min="14603" max="14848" width="9" style="195"/>
    <col min="14849" max="14849" width="39.125" style="195" customWidth="1"/>
    <col min="14850" max="14850" width="13.75" style="195" customWidth="1"/>
    <col min="14851" max="14851" width="14" style="195" customWidth="1"/>
    <col min="14852" max="14852" width="13" style="195" customWidth="1"/>
    <col min="14853" max="14853" width="14.875" style="195" customWidth="1"/>
    <col min="14854" max="14854" width="22.625" style="195" customWidth="1"/>
    <col min="14855" max="14858" width="9" style="195" hidden="1" customWidth="1"/>
    <col min="14859" max="15104" width="9" style="195"/>
    <col min="15105" max="15105" width="39.125" style="195" customWidth="1"/>
    <col min="15106" max="15106" width="13.75" style="195" customWidth="1"/>
    <col min="15107" max="15107" width="14" style="195" customWidth="1"/>
    <col min="15108" max="15108" width="13" style="195" customWidth="1"/>
    <col min="15109" max="15109" width="14.875" style="195" customWidth="1"/>
    <col min="15110" max="15110" width="22.625" style="195" customWidth="1"/>
    <col min="15111" max="15114" width="9" style="195" hidden="1" customWidth="1"/>
    <col min="15115" max="15360" width="9" style="195"/>
    <col min="15361" max="15361" width="39.125" style="195" customWidth="1"/>
    <col min="15362" max="15362" width="13.75" style="195" customWidth="1"/>
    <col min="15363" max="15363" width="14" style="195" customWidth="1"/>
    <col min="15364" max="15364" width="13" style="195" customWidth="1"/>
    <col min="15365" max="15365" width="14.875" style="195" customWidth="1"/>
    <col min="15366" max="15366" width="22.625" style="195" customWidth="1"/>
    <col min="15367" max="15370" width="9" style="195" hidden="1" customWidth="1"/>
    <col min="15371" max="15616" width="9" style="195"/>
    <col min="15617" max="15617" width="39.125" style="195" customWidth="1"/>
    <col min="15618" max="15618" width="13.75" style="195" customWidth="1"/>
    <col min="15619" max="15619" width="14" style="195" customWidth="1"/>
    <col min="15620" max="15620" width="13" style="195" customWidth="1"/>
    <col min="15621" max="15621" width="14.875" style="195" customWidth="1"/>
    <col min="15622" max="15622" width="22.625" style="195" customWidth="1"/>
    <col min="15623" max="15626" width="9" style="195" hidden="1" customWidth="1"/>
    <col min="15627" max="15872" width="9" style="195"/>
    <col min="15873" max="15873" width="39.125" style="195" customWidth="1"/>
    <col min="15874" max="15874" width="13.75" style="195" customWidth="1"/>
    <col min="15875" max="15875" width="14" style="195" customWidth="1"/>
    <col min="15876" max="15876" width="13" style="195" customWidth="1"/>
    <col min="15877" max="15877" width="14.875" style="195" customWidth="1"/>
    <col min="15878" max="15878" width="22.625" style="195" customWidth="1"/>
    <col min="15879" max="15882" width="9" style="195" hidden="1" customWidth="1"/>
    <col min="15883" max="16128" width="9" style="195"/>
    <col min="16129" max="16129" width="39.125" style="195" customWidth="1"/>
    <col min="16130" max="16130" width="13.75" style="195" customWidth="1"/>
    <col min="16131" max="16131" width="14" style="195" customWidth="1"/>
    <col min="16132" max="16132" width="13" style="195" customWidth="1"/>
    <col min="16133" max="16133" width="14.875" style="195" customWidth="1"/>
    <col min="16134" max="16134" width="22.625" style="195" customWidth="1"/>
    <col min="16135" max="16138" width="9" style="195" hidden="1" customWidth="1"/>
    <col min="16139" max="16384" width="9" style="195"/>
  </cols>
  <sheetData>
    <row r="1" s="190" customFormat="1" ht="31.5" customHeight="1" spans="1:6">
      <c r="A1" s="196" t="s">
        <v>0</v>
      </c>
      <c r="B1" s="196"/>
      <c r="C1" s="196"/>
      <c r="D1" s="196"/>
      <c r="E1" s="196"/>
      <c r="F1" s="196"/>
    </row>
    <row r="2" s="199" customFormat="1" ht="21" customHeight="1" spans="1:6">
      <c r="A2" s="223" t="s">
        <v>1</v>
      </c>
      <c r="B2" s="198"/>
      <c r="C2" s="198"/>
      <c r="E2" s="200"/>
      <c r="F2" s="226" t="s">
        <v>2</v>
      </c>
    </row>
    <row r="3" s="221" customFormat="1" ht="33.75" customHeight="1" spans="1:7">
      <c r="A3" s="227" t="s">
        <v>3</v>
      </c>
      <c r="B3" s="268" t="s">
        <v>4</v>
      </c>
      <c r="C3" s="268" t="s">
        <v>5</v>
      </c>
      <c r="D3" s="227" t="s">
        <v>6</v>
      </c>
      <c r="E3" s="229" t="s">
        <v>7</v>
      </c>
      <c r="F3" s="205" t="s">
        <v>8</v>
      </c>
      <c r="G3" s="230" t="s">
        <v>9</v>
      </c>
    </row>
    <row r="4" s="221" customFormat="1" ht="21.75" customHeight="1" spans="1:7">
      <c r="A4" s="269" t="s">
        <v>10</v>
      </c>
      <c r="B4" s="270">
        <f>SUM(B5:B17)</f>
        <v>132500</v>
      </c>
      <c r="C4" s="270">
        <f>SUM(C5:C17)</f>
        <v>161442</v>
      </c>
      <c r="D4" s="233">
        <f>C4/B4</f>
        <v>1.21843018867925</v>
      </c>
      <c r="E4" s="234">
        <f>(C4-G4)/G4</f>
        <v>0.360347834879547</v>
      </c>
      <c r="F4" s="205"/>
      <c r="G4" s="271">
        <f>SUM(G5:G17)</f>
        <v>118677</v>
      </c>
    </row>
    <row r="5" s="223" customFormat="1" ht="21.75" customHeight="1" spans="1:7">
      <c r="A5" s="272" t="s">
        <v>11</v>
      </c>
      <c r="B5" s="273">
        <v>65700</v>
      </c>
      <c r="C5" s="273">
        <v>77012</v>
      </c>
      <c r="D5" s="233">
        <f t="shared" ref="D5:D26" si="0">C5/B5</f>
        <v>1.17217656012177</v>
      </c>
      <c r="E5" s="234">
        <f t="shared" ref="E5:E35" si="1">(C5-G5)/G5</f>
        <v>0.664476528053947</v>
      </c>
      <c r="F5" s="274"/>
      <c r="G5" s="275">
        <v>46268</v>
      </c>
    </row>
    <row r="6" s="223" customFormat="1" ht="21.75" customHeight="1" spans="1:7">
      <c r="A6" s="276" t="s">
        <v>12</v>
      </c>
      <c r="B6" s="273"/>
      <c r="C6" s="273">
        <v>-27</v>
      </c>
      <c r="D6" s="233"/>
      <c r="E6" s="234">
        <f t="shared" si="1"/>
        <v>-1.00429936305732</v>
      </c>
      <c r="F6" s="275"/>
      <c r="G6" s="275">
        <v>6280</v>
      </c>
    </row>
    <row r="7" s="223" customFormat="1" ht="21.75" customHeight="1" spans="1:7">
      <c r="A7" s="276" t="s">
        <v>13</v>
      </c>
      <c r="B7" s="273">
        <v>11299</v>
      </c>
      <c r="C7" s="273">
        <v>14397</v>
      </c>
      <c r="D7" s="233">
        <f t="shared" si="0"/>
        <v>1.27418355606691</v>
      </c>
      <c r="E7" s="234">
        <f t="shared" si="1"/>
        <v>0.691376879699248</v>
      </c>
      <c r="F7" s="275"/>
      <c r="G7" s="275">
        <v>8512</v>
      </c>
    </row>
    <row r="8" s="223" customFormat="1" ht="21.75" customHeight="1" spans="1:7">
      <c r="A8" s="276" t="s">
        <v>14</v>
      </c>
      <c r="B8" s="273">
        <v>1498</v>
      </c>
      <c r="C8" s="273">
        <v>2190</v>
      </c>
      <c r="D8" s="233">
        <f t="shared" si="0"/>
        <v>1.46194926568758</v>
      </c>
      <c r="E8" s="234">
        <f t="shared" si="1"/>
        <v>0.436065573770492</v>
      </c>
      <c r="F8" s="275"/>
      <c r="G8" s="275">
        <v>1525</v>
      </c>
    </row>
    <row r="9" s="223" customFormat="1" ht="21.75" customHeight="1" spans="1:7">
      <c r="A9" s="272" t="s">
        <v>15</v>
      </c>
      <c r="B9" s="273">
        <v>11653</v>
      </c>
      <c r="C9" s="273">
        <v>15796</v>
      </c>
      <c r="D9" s="233">
        <f t="shared" si="0"/>
        <v>1.35553076460997</v>
      </c>
      <c r="E9" s="234">
        <f t="shared" si="1"/>
        <v>0.301367605865876</v>
      </c>
      <c r="F9" s="275"/>
      <c r="G9" s="275">
        <v>12138</v>
      </c>
    </row>
    <row r="10" s="223" customFormat="1" ht="21.75" customHeight="1" spans="1:7">
      <c r="A10" s="272" t="s">
        <v>16</v>
      </c>
      <c r="B10" s="273">
        <v>11000</v>
      </c>
      <c r="C10" s="273">
        <v>17341</v>
      </c>
      <c r="D10" s="233">
        <f t="shared" si="0"/>
        <v>1.57645454545455</v>
      </c>
      <c r="E10" s="234">
        <f t="shared" si="1"/>
        <v>0.520740156099272</v>
      </c>
      <c r="F10" s="275"/>
      <c r="G10" s="275">
        <v>11403</v>
      </c>
    </row>
    <row r="11" s="223" customFormat="1" ht="21.75" customHeight="1" spans="1:7">
      <c r="A11" s="272" t="s">
        <v>17</v>
      </c>
      <c r="B11" s="273">
        <v>5000</v>
      </c>
      <c r="C11" s="273">
        <v>3916</v>
      </c>
      <c r="D11" s="233">
        <f t="shared" si="0"/>
        <v>0.7832</v>
      </c>
      <c r="E11" s="234">
        <f t="shared" si="1"/>
        <v>-0.268993839835729</v>
      </c>
      <c r="F11" s="275"/>
      <c r="G11" s="275">
        <v>5357</v>
      </c>
    </row>
    <row r="12" s="223" customFormat="1" ht="21.75" customHeight="1" spans="1:10">
      <c r="A12" s="272" t="s">
        <v>18</v>
      </c>
      <c r="B12" s="273">
        <v>2800</v>
      </c>
      <c r="C12" s="273">
        <v>5030</v>
      </c>
      <c r="D12" s="233">
        <f t="shared" si="0"/>
        <v>1.79642857142857</v>
      </c>
      <c r="E12" s="234">
        <f t="shared" si="1"/>
        <v>0.761821366024518</v>
      </c>
      <c r="F12" s="275"/>
      <c r="G12" s="275">
        <v>2855</v>
      </c>
      <c r="J12" s="223">
        <f>SUM(G10:G17)</f>
        <v>43954</v>
      </c>
    </row>
    <row r="13" s="223" customFormat="1" ht="21.75" customHeight="1" spans="1:10">
      <c r="A13" s="272" t="s">
        <v>19</v>
      </c>
      <c r="B13" s="273">
        <v>18000</v>
      </c>
      <c r="C13" s="273">
        <v>16965</v>
      </c>
      <c r="D13" s="233">
        <f t="shared" si="0"/>
        <v>0.9425</v>
      </c>
      <c r="E13" s="234">
        <f t="shared" si="1"/>
        <v>-0.0786400912398849</v>
      </c>
      <c r="F13" s="275"/>
      <c r="G13" s="275">
        <v>18413</v>
      </c>
      <c r="I13" s="223">
        <f>SUM(B10:B17)</f>
        <v>42350</v>
      </c>
      <c r="J13" s="223">
        <f>SUM(C10:C17)</f>
        <v>52074</v>
      </c>
    </row>
    <row r="14" s="223" customFormat="1" ht="21.75" customHeight="1" spans="1:7">
      <c r="A14" s="272" t="s">
        <v>20</v>
      </c>
      <c r="B14" s="273">
        <v>650</v>
      </c>
      <c r="C14" s="273">
        <v>551</v>
      </c>
      <c r="D14" s="233">
        <f t="shared" si="0"/>
        <v>0.847692307692308</v>
      </c>
      <c r="E14" s="234">
        <f t="shared" si="1"/>
        <v>-0.1390625</v>
      </c>
      <c r="F14" s="275"/>
      <c r="G14" s="275">
        <v>640</v>
      </c>
    </row>
    <row r="15" s="223" customFormat="1" ht="21.75" customHeight="1" spans="1:9">
      <c r="A15" s="272" t="s">
        <v>21</v>
      </c>
      <c r="B15" s="273">
        <v>2000</v>
      </c>
      <c r="C15" s="273">
        <v>2197</v>
      </c>
      <c r="D15" s="233">
        <f t="shared" si="0"/>
        <v>1.0985</v>
      </c>
      <c r="E15" s="234">
        <f t="shared" si="1"/>
        <v>-0.0112511251125113</v>
      </c>
      <c r="F15" s="275"/>
      <c r="G15" s="275">
        <v>2222</v>
      </c>
      <c r="I15" s="296">
        <f>J13/I13</f>
        <v>1.22961038961039</v>
      </c>
    </row>
    <row r="16" s="223" customFormat="1" ht="21.75" customHeight="1" spans="1:10">
      <c r="A16" s="272" t="s">
        <v>22</v>
      </c>
      <c r="B16" s="273">
        <v>900</v>
      </c>
      <c r="C16" s="273">
        <v>3984</v>
      </c>
      <c r="D16" s="233">
        <f t="shared" si="0"/>
        <v>4.42666666666667</v>
      </c>
      <c r="E16" s="234">
        <f t="shared" si="1"/>
        <v>3.00402010050251</v>
      </c>
      <c r="F16" s="275"/>
      <c r="G16" s="275">
        <v>995</v>
      </c>
      <c r="J16" s="296">
        <f>(J13-J12)/J13</f>
        <v>0.155931943004186</v>
      </c>
    </row>
    <row r="17" s="223" customFormat="1" ht="21.75" customHeight="1" spans="1:7">
      <c r="A17" s="272" t="s">
        <v>23</v>
      </c>
      <c r="B17" s="273">
        <v>2000</v>
      </c>
      <c r="C17" s="273">
        <v>2090</v>
      </c>
      <c r="D17" s="233">
        <f t="shared" si="0"/>
        <v>1.045</v>
      </c>
      <c r="E17" s="234">
        <f t="shared" si="1"/>
        <v>0.0101498308361527</v>
      </c>
      <c r="F17" s="275"/>
      <c r="G17" s="275">
        <v>2069</v>
      </c>
    </row>
    <row r="18" s="223" customFormat="1" ht="21.75" customHeight="1" spans="1:7">
      <c r="A18" s="272" t="s">
        <v>24</v>
      </c>
      <c r="B18" s="273">
        <f>SUM(B19:B25)</f>
        <v>37500</v>
      </c>
      <c r="C18" s="273">
        <f>SUM(C19:C25)</f>
        <v>48340</v>
      </c>
      <c r="D18" s="233">
        <f t="shared" si="0"/>
        <v>1.28906666666667</v>
      </c>
      <c r="E18" s="234">
        <f t="shared" si="1"/>
        <v>0.310311178575301</v>
      </c>
      <c r="F18" s="275"/>
      <c r="G18" s="277">
        <f>SUM(G19:G25)</f>
        <v>36892</v>
      </c>
    </row>
    <row r="19" s="223" customFormat="1" ht="21.75" customHeight="1" spans="1:7">
      <c r="A19" s="278" t="s">
        <v>25</v>
      </c>
      <c r="B19" s="279">
        <v>5600</v>
      </c>
      <c r="C19" s="279">
        <v>21019</v>
      </c>
      <c r="D19" s="280">
        <f t="shared" si="0"/>
        <v>3.75339285714286</v>
      </c>
      <c r="E19" s="281">
        <f t="shared" si="1"/>
        <v>0.540191983586136</v>
      </c>
      <c r="F19" s="282"/>
      <c r="G19" s="275">
        <v>13647</v>
      </c>
    </row>
    <row r="20" s="223" customFormat="1" ht="21.75" customHeight="1" spans="1:7">
      <c r="A20" s="283" t="s">
        <v>26</v>
      </c>
      <c r="B20" s="284">
        <v>5000</v>
      </c>
      <c r="C20" s="284">
        <v>5117</v>
      </c>
      <c r="D20" s="209">
        <f t="shared" si="0"/>
        <v>1.0234</v>
      </c>
      <c r="E20" s="209">
        <f t="shared" si="1"/>
        <v>0.135849056603774</v>
      </c>
      <c r="F20" s="285"/>
      <c r="G20" s="286">
        <v>4505</v>
      </c>
    </row>
    <row r="21" s="223" customFormat="1" ht="21.75" customHeight="1" spans="1:10">
      <c r="A21" s="287" t="s">
        <v>27</v>
      </c>
      <c r="B21" s="284">
        <v>5000</v>
      </c>
      <c r="C21" s="284">
        <v>4460</v>
      </c>
      <c r="D21" s="209">
        <f t="shared" si="0"/>
        <v>0.892</v>
      </c>
      <c r="E21" s="209">
        <f t="shared" si="1"/>
        <v>0.023405231757687</v>
      </c>
      <c r="F21" s="285"/>
      <c r="G21" s="286">
        <v>4358</v>
      </c>
      <c r="I21" s="223">
        <f>G25+G24+G23</f>
        <v>8918</v>
      </c>
      <c r="J21" s="296">
        <f>(I22-I21)/I21</f>
        <v>-0.336286162816775</v>
      </c>
    </row>
    <row r="22" s="223" customFormat="1" ht="21.75" customHeight="1" spans="1:10">
      <c r="A22" s="283" t="s">
        <v>28</v>
      </c>
      <c r="B22" s="284">
        <v>10000</v>
      </c>
      <c r="C22" s="284">
        <v>11825</v>
      </c>
      <c r="D22" s="209">
        <f t="shared" si="0"/>
        <v>1.1825</v>
      </c>
      <c r="E22" s="209">
        <f t="shared" si="1"/>
        <v>1.1641654465593</v>
      </c>
      <c r="F22" s="285"/>
      <c r="G22" s="286">
        <v>5464</v>
      </c>
      <c r="H22" s="223">
        <f>B23+B24+B25</f>
        <v>11900</v>
      </c>
      <c r="I22" s="223">
        <f>C23+C24+C25</f>
        <v>5919</v>
      </c>
      <c r="J22" s="296">
        <f>I22/H22</f>
        <v>0.497394957983193</v>
      </c>
    </row>
    <row r="23" s="223" customFormat="1" ht="21.75" customHeight="1" spans="1:7">
      <c r="A23" s="283" t="s">
        <v>29</v>
      </c>
      <c r="B23" s="284"/>
      <c r="C23" s="284">
        <v>4823</v>
      </c>
      <c r="D23" s="209"/>
      <c r="E23" s="209">
        <f t="shared" si="1"/>
        <v>-0.372903393576908</v>
      </c>
      <c r="F23" s="285"/>
      <c r="G23" s="288">
        <v>7691</v>
      </c>
    </row>
    <row r="24" s="223" customFormat="1" ht="21.75" customHeight="1" spans="1:7">
      <c r="A24" s="278" t="s">
        <v>30</v>
      </c>
      <c r="B24" s="289">
        <v>740</v>
      </c>
      <c r="C24" s="289">
        <v>856</v>
      </c>
      <c r="D24" s="290">
        <f t="shared" si="0"/>
        <v>1.15675675675676</v>
      </c>
      <c r="E24" s="291">
        <f t="shared" si="1"/>
        <v>0.0918367346938776</v>
      </c>
      <c r="F24" s="274"/>
      <c r="G24" s="282">
        <v>784</v>
      </c>
    </row>
    <row r="25" s="223" customFormat="1" ht="21.75" customHeight="1" spans="1:7">
      <c r="A25" s="292" t="s">
        <v>31</v>
      </c>
      <c r="B25" s="279">
        <v>11160</v>
      </c>
      <c r="C25" s="279">
        <v>240</v>
      </c>
      <c r="D25" s="233">
        <f t="shared" si="0"/>
        <v>0.021505376344086</v>
      </c>
      <c r="E25" s="234">
        <f t="shared" si="1"/>
        <v>-0.45823927765237</v>
      </c>
      <c r="F25" s="275"/>
      <c r="G25" s="282">
        <v>443</v>
      </c>
    </row>
    <row r="26" s="223" customFormat="1" ht="21.75" customHeight="1" spans="1:7">
      <c r="A26" s="293" t="s">
        <v>32</v>
      </c>
      <c r="B26" s="273">
        <f>B4+B18</f>
        <v>170000</v>
      </c>
      <c r="C26" s="273">
        <f>C4+C18</f>
        <v>209782</v>
      </c>
      <c r="D26" s="233">
        <f t="shared" si="0"/>
        <v>1.23401176470588</v>
      </c>
      <c r="E26" s="234">
        <f t="shared" si="1"/>
        <v>0.348482024053635</v>
      </c>
      <c r="F26" s="275"/>
      <c r="G26" s="275">
        <f>G4+G18</f>
        <v>155569</v>
      </c>
    </row>
    <row r="27" s="223" customFormat="1" ht="21.95" customHeight="1" spans="1:7">
      <c r="A27" s="294" t="s">
        <v>33</v>
      </c>
      <c r="B27" s="273"/>
      <c r="C27" s="273">
        <f>SUM(C28:C34)</f>
        <v>139707</v>
      </c>
      <c r="D27" s="233"/>
      <c r="E27" s="234">
        <f t="shared" si="1"/>
        <v>-0.603554493627962</v>
      </c>
      <c r="F27" s="275"/>
      <c r="G27" s="275">
        <f>SUM(G28:G33)</f>
        <v>352399</v>
      </c>
    </row>
    <row r="28" s="221" customFormat="1" ht="21.95" customHeight="1" spans="1:7">
      <c r="A28" s="231" t="s">
        <v>34</v>
      </c>
      <c r="B28" s="232"/>
      <c r="C28" s="232">
        <v>-13929</v>
      </c>
      <c r="D28" s="233"/>
      <c r="E28" s="234">
        <f t="shared" si="1"/>
        <v>0.230368342019256</v>
      </c>
      <c r="F28" s="235"/>
      <c r="G28" s="231">
        <v>-11321</v>
      </c>
    </row>
    <row r="29" s="221" customFormat="1" ht="21.95" customHeight="1" spans="1:10">
      <c r="A29" s="231" t="s">
        <v>35</v>
      </c>
      <c r="B29" s="232"/>
      <c r="C29" s="232">
        <v>57072</v>
      </c>
      <c r="D29" s="233"/>
      <c r="E29" s="234">
        <f t="shared" si="1"/>
        <v>-0.182290995056953</v>
      </c>
      <c r="F29" s="235"/>
      <c r="G29" s="231">
        <v>69795</v>
      </c>
      <c r="H29" s="221">
        <f>G29+G30</f>
        <v>114076</v>
      </c>
      <c r="I29" s="221">
        <f>C29+C30</f>
        <v>107975</v>
      </c>
      <c r="J29" s="297">
        <f>(I29-H29)/H29</f>
        <v>-0.0534818892668046</v>
      </c>
    </row>
    <row r="30" s="221" customFormat="1" ht="21.95" customHeight="1" spans="1:7">
      <c r="A30" s="231" t="s">
        <v>36</v>
      </c>
      <c r="B30" s="232"/>
      <c r="C30" s="232">
        <v>50903</v>
      </c>
      <c r="D30" s="233"/>
      <c r="E30" s="234">
        <f t="shared" si="1"/>
        <v>0.14954495155936</v>
      </c>
      <c r="F30" s="235"/>
      <c r="G30" s="231">
        <v>44281</v>
      </c>
    </row>
    <row r="31" s="221" customFormat="1" ht="21.95" customHeight="1" spans="1:7">
      <c r="A31" s="231" t="s">
        <v>37</v>
      </c>
      <c r="B31" s="232"/>
      <c r="C31" s="232">
        <v>17316</v>
      </c>
      <c r="D31" s="233"/>
      <c r="E31" s="234">
        <f t="shared" si="1"/>
        <v>-0.920612142912814</v>
      </c>
      <c r="F31" s="235"/>
      <c r="G31" s="231">
        <v>218119</v>
      </c>
    </row>
    <row r="32" s="221" customFormat="1" ht="21.95" customHeight="1" spans="1:7">
      <c r="A32" s="231" t="s">
        <v>38</v>
      </c>
      <c r="B32" s="232"/>
      <c r="C32" s="232">
        <v>8788</v>
      </c>
      <c r="D32" s="233"/>
      <c r="E32" s="234">
        <f t="shared" si="1"/>
        <v>-0.477091514935142</v>
      </c>
      <c r="F32" s="235"/>
      <c r="G32" s="231">
        <v>16806</v>
      </c>
    </row>
    <row r="33" s="221" customFormat="1" ht="21.95" customHeight="1" spans="1:7">
      <c r="A33" s="57" t="s">
        <v>39</v>
      </c>
      <c r="B33" s="232"/>
      <c r="C33" s="232">
        <v>18637</v>
      </c>
      <c r="D33" s="233"/>
      <c r="E33" s="234">
        <f t="shared" si="1"/>
        <v>0.266186561587064</v>
      </c>
      <c r="F33" s="235"/>
      <c r="G33" s="231">
        <v>14719</v>
      </c>
    </row>
    <row r="34" s="221" customFormat="1" ht="21.95" customHeight="1" spans="1:7">
      <c r="A34" s="57" t="s">
        <v>40</v>
      </c>
      <c r="B34" s="232"/>
      <c r="C34" s="232">
        <v>920</v>
      </c>
      <c r="D34" s="233"/>
      <c r="E34" s="234"/>
      <c r="F34" s="235"/>
      <c r="G34" s="231"/>
    </row>
    <row r="35" s="221" customFormat="1" ht="21.95" customHeight="1" spans="1:7">
      <c r="A35" s="317" t="s">
        <v>41</v>
      </c>
      <c r="B35" s="238"/>
      <c r="C35" s="238">
        <f>C27+C26</f>
        <v>349489</v>
      </c>
      <c r="D35" s="280"/>
      <c r="E35" s="281">
        <f t="shared" si="1"/>
        <v>-0.311986188106337</v>
      </c>
      <c r="F35" s="239"/>
      <c r="G35" s="231">
        <f>G26+G27</f>
        <v>507968</v>
      </c>
    </row>
    <row r="36" ht="21.95" customHeight="1" spans="1:6">
      <c r="A36" s="57" t="s">
        <v>42</v>
      </c>
      <c r="B36" s="241">
        <v>14606</v>
      </c>
      <c r="C36" s="241">
        <v>39475</v>
      </c>
      <c r="D36" s="209">
        <f t="shared" ref="D36:D43" si="2">C36/B36</f>
        <v>2.70265644255785</v>
      </c>
      <c r="E36" s="209">
        <v>1.67427681051419</v>
      </c>
      <c r="F36" s="318"/>
    </row>
    <row r="37" ht="21.95" customHeight="1" spans="1:6">
      <c r="A37" s="319" t="s">
        <v>43</v>
      </c>
      <c r="B37" s="241">
        <v>300</v>
      </c>
      <c r="C37" s="241">
        <v>3</v>
      </c>
      <c r="D37" s="209"/>
      <c r="E37" s="209">
        <v>-0.990566037735849</v>
      </c>
      <c r="F37" s="318"/>
    </row>
    <row r="38" ht="21.95" customHeight="1" spans="1:6">
      <c r="A38" s="57" t="s">
        <v>44</v>
      </c>
      <c r="B38" s="241">
        <v>1723</v>
      </c>
      <c r="C38" s="241">
        <v>4902</v>
      </c>
      <c r="D38" s="209">
        <f t="shared" si="2"/>
        <v>2.84503772489843</v>
      </c>
      <c r="E38" s="209">
        <v>3.67302192564347</v>
      </c>
      <c r="F38" s="318"/>
    </row>
    <row r="39" ht="21.95" customHeight="1" spans="1:6">
      <c r="A39" s="57" t="s">
        <v>45</v>
      </c>
      <c r="B39" s="241">
        <v>105</v>
      </c>
      <c r="C39" s="241">
        <v>480</v>
      </c>
      <c r="D39" s="209">
        <f t="shared" si="2"/>
        <v>4.57142857142857</v>
      </c>
      <c r="E39" s="209">
        <v>2.60902255639098</v>
      </c>
      <c r="F39" s="318"/>
    </row>
    <row r="40" ht="21.95" customHeight="1" spans="1:6">
      <c r="A40" s="57" t="s">
        <v>46</v>
      </c>
      <c r="B40" s="241">
        <v>200</v>
      </c>
      <c r="C40" s="241">
        <v>7</v>
      </c>
      <c r="D40" s="209">
        <f t="shared" si="2"/>
        <v>0.035</v>
      </c>
      <c r="E40" s="209">
        <v>-0.588235294117647</v>
      </c>
      <c r="F40" s="318"/>
    </row>
    <row r="41" ht="21.95" customHeight="1" spans="1:6">
      <c r="A41" s="57" t="s">
        <v>47</v>
      </c>
      <c r="B41" s="241">
        <v>530</v>
      </c>
      <c r="C41" s="241">
        <v>446</v>
      </c>
      <c r="D41" s="209">
        <f t="shared" si="2"/>
        <v>0.841509433962264</v>
      </c>
      <c r="E41" s="209">
        <v>-0.228373702422145</v>
      </c>
      <c r="F41" s="318"/>
    </row>
    <row r="42" ht="21.95" customHeight="1" spans="1:6">
      <c r="A42" s="57" t="s">
        <v>48</v>
      </c>
      <c r="B42" s="241"/>
      <c r="C42" s="241">
        <v>10</v>
      </c>
      <c r="D42" s="209"/>
      <c r="E42" s="209">
        <v>2.33333333333333</v>
      </c>
      <c r="F42" s="318"/>
    </row>
    <row r="43" ht="21.95" customHeight="1" spans="1:6">
      <c r="A43" s="240" t="s">
        <v>49</v>
      </c>
      <c r="B43" s="241">
        <f>SUM(B36:B42)</f>
        <v>17464</v>
      </c>
      <c r="C43" s="241">
        <f>SUM(C36:C42)</f>
        <v>45323</v>
      </c>
      <c r="D43" s="209">
        <f t="shared" si="2"/>
        <v>2.59522446174989</v>
      </c>
      <c r="E43" s="209">
        <v>1.68835636751883</v>
      </c>
      <c r="F43" s="318"/>
    </row>
    <row r="44" ht="21.95" customHeight="1" spans="1:6">
      <c r="A44" s="210" t="s">
        <v>50</v>
      </c>
      <c r="B44" s="208">
        <v>3481</v>
      </c>
      <c r="C44" s="208">
        <v>3481</v>
      </c>
      <c r="D44" s="209"/>
      <c r="E44" s="209">
        <v>-0.261091063468478</v>
      </c>
      <c r="F44" s="318"/>
    </row>
    <row r="45" ht="21.95" customHeight="1" spans="1:6">
      <c r="A45" s="210" t="s">
        <v>51</v>
      </c>
      <c r="B45" s="208"/>
      <c r="C45" s="208">
        <v>20500</v>
      </c>
      <c r="D45" s="209"/>
      <c r="E45" s="209">
        <v>3.76744186046512</v>
      </c>
      <c r="F45" s="318"/>
    </row>
    <row r="46" ht="21.95" customHeight="1" spans="1:6">
      <c r="A46" s="57" t="s">
        <v>52</v>
      </c>
      <c r="B46" s="208">
        <v>583</v>
      </c>
      <c r="C46" s="208">
        <v>1735</v>
      </c>
      <c r="D46" s="209"/>
      <c r="E46" s="209">
        <v>0.610956360259981</v>
      </c>
      <c r="F46" s="318"/>
    </row>
    <row r="47" ht="21.95" customHeight="1" spans="1:6">
      <c r="A47" s="242" t="s">
        <v>53</v>
      </c>
      <c r="B47" s="208">
        <f>SUM(B43:B46)</f>
        <v>21528</v>
      </c>
      <c r="C47" s="208">
        <f>SUM(C43:C46)</f>
        <v>71039</v>
      </c>
      <c r="D47" s="209"/>
      <c r="E47" s="209">
        <v>1.63624893309088</v>
      </c>
      <c r="F47" s="318"/>
    </row>
  </sheetData>
  <mergeCells count="1">
    <mergeCell ref="A1:F1"/>
  </mergeCells>
  <printOptions horizontalCentered="1"/>
  <pageMargins left="0.78740157480315" right="0.78740157480315" top="0.78740157480315" bottom="0.708661417322835" header="0" footer="0"/>
  <pageSetup paperSize="9" orientation="landscape"/>
  <headerFooter alignWithMargins="0">
    <evenFooter>&amp;C-2-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2"/>
  <sheetViews>
    <sheetView topLeftCell="A107" workbookViewId="0">
      <selection activeCell="A144" sqref="$A1:$XFD1048576"/>
    </sheetView>
  </sheetViews>
  <sheetFormatPr defaultColWidth="9" defaultRowHeight="15" customHeight="1" outlineLevelCol="5"/>
  <cols>
    <col min="1" max="1" width="49.375" style="137" customWidth="1"/>
    <col min="2" max="2" width="13.625" style="138" customWidth="1"/>
    <col min="3" max="3" width="14.25" style="139" customWidth="1"/>
    <col min="4" max="16384" width="9" style="137"/>
  </cols>
  <sheetData>
    <row r="1" ht="39" customHeight="1" spans="1:3">
      <c r="A1" s="140" t="s">
        <v>789</v>
      </c>
      <c r="B1" s="155"/>
      <c r="C1" s="142"/>
    </row>
    <row r="2" customHeight="1" spans="1:3">
      <c r="A2" s="143" t="s">
        <v>790</v>
      </c>
      <c r="B2" s="144"/>
      <c r="C2" s="145" t="s">
        <v>2</v>
      </c>
    </row>
    <row r="3" ht="20.1" customHeight="1" spans="1:3">
      <c r="A3" s="146" t="s">
        <v>701</v>
      </c>
      <c r="B3" s="147" t="s">
        <v>791</v>
      </c>
      <c r="C3" s="148" t="s">
        <v>683</v>
      </c>
    </row>
    <row r="4" ht="18.6" customHeight="1" spans="1:2">
      <c r="A4" s="156" t="s">
        <v>62</v>
      </c>
      <c r="B4" s="157">
        <v>876</v>
      </c>
    </row>
    <row r="5" ht="18.6" customHeight="1" spans="1:3">
      <c r="A5" s="149" t="s">
        <v>792</v>
      </c>
      <c r="B5" s="157">
        <v>3</v>
      </c>
      <c r="C5" s="158"/>
    </row>
    <row r="6" ht="18.6" customHeight="1" spans="1:3">
      <c r="A6" s="149" t="s">
        <v>793</v>
      </c>
      <c r="B6" s="157">
        <v>11</v>
      </c>
      <c r="C6" s="158"/>
    </row>
    <row r="7" ht="18.6" customHeight="1" spans="1:3">
      <c r="A7" s="149" t="s">
        <v>794</v>
      </c>
      <c r="B7" s="157">
        <v>2</v>
      </c>
      <c r="C7" s="158"/>
    </row>
    <row r="8" ht="18.6" customHeight="1" spans="1:3">
      <c r="A8" s="149" t="s">
        <v>795</v>
      </c>
      <c r="B8" s="157">
        <v>60</v>
      </c>
      <c r="C8" s="158"/>
    </row>
    <row r="9" ht="18.6" customHeight="1" spans="1:3">
      <c r="A9" s="149" t="s">
        <v>796</v>
      </c>
      <c r="B9" s="157">
        <v>2</v>
      </c>
      <c r="C9" s="158"/>
    </row>
    <row r="10" ht="18.6" customHeight="1" spans="1:3">
      <c r="A10" s="149" t="s">
        <v>797</v>
      </c>
      <c r="B10" s="157">
        <v>1</v>
      </c>
      <c r="C10" s="158"/>
    </row>
    <row r="11" ht="18.6" customHeight="1" spans="1:3">
      <c r="A11" s="149" t="s">
        <v>798</v>
      </c>
      <c r="B11" s="157">
        <v>12</v>
      </c>
      <c r="C11" s="158"/>
    </row>
    <row r="12" ht="18.6" customHeight="1" spans="1:3">
      <c r="A12" s="149" t="s">
        <v>799</v>
      </c>
      <c r="B12" s="157">
        <v>43</v>
      </c>
      <c r="C12" s="158"/>
    </row>
    <row r="13" ht="18.6" customHeight="1" spans="1:3">
      <c r="A13" s="149" t="s">
        <v>800</v>
      </c>
      <c r="B13" s="157">
        <v>11</v>
      </c>
      <c r="C13" s="158"/>
    </row>
    <row r="14" ht="18.6" customHeight="1" spans="1:3">
      <c r="A14" s="149" t="s">
        <v>801</v>
      </c>
      <c r="B14" s="157">
        <v>10</v>
      </c>
      <c r="C14" s="158"/>
    </row>
    <row r="15" ht="18.6" customHeight="1" spans="1:3">
      <c r="A15" s="149" t="s">
        <v>802</v>
      </c>
      <c r="B15" s="157">
        <v>11</v>
      </c>
      <c r="C15" s="158"/>
    </row>
    <row r="16" ht="18.6" customHeight="1" spans="1:3">
      <c r="A16" s="149" t="s">
        <v>803</v>
      </c>
      <c r="B16" s="157">
        <v>379</v>
      </c>
      <c r="C16" s="158"/>
    </row>
    <row r="17" ht="18.6" customHeight="1" spans="1:3">
      <c r="A17" s="149" t="s">
        <v>804</v>
      </c>
      <c r="B17" s="157">
        <v>10</v>
      </c>
      <c r="C17" s="158"/>
    </row>
    <row r="18" ht="18.6" customHeight="1" spans="1:3">
      <c r="A18" s="149" t="s">
        <v>805</v>
      </c>
      <c r="B18" s="157">
        <v>19</v>
      </c>
      <c r="C18" s="158"/>
    </row>
    <row r="19" ht="18.6" customHeight="1" spans="1:3">
      <c r="A19" s="149" t="s">
        <v>806</v>
      </c>
      <c r="B19" s="157">
        <v>8</v>
      </c>
      <c r="C19" s="158"/>
    </row>
    <row r="20" ht="18.6" customHeight="1" spans="1:3">
      <c r="A20" s="149" t="s">
        <v>807</v>
      </c>
      <c r="B20" s="157">
        <v>160</v>
      </c>
      <c r="C20" s="158"/>
    </row>
    <row r="21" ht="18.6" customHeight="1" spans="1:3">
      <c r="A21" s="149" t="s">
        <v>808</v>
      </c>
      <c r="B21" s="157">
        <v>120</v>
      </c>
      <c r="C21" s="158"/>
    </row>
    <row r="22" ht="18.6" customHeight="1" spans="1:3">
      <c r="A22" s="149" t="s">
        <v>809</v>
      </c>
      <c r="B22" s="157">
        <v>14</v>
      </c>
      <c r="C22" s="158"/>
    </row>
    <row r="23" ht="18.6" customHeight="1" spans="1:2">
      <c r="A23" s="156" t="s">
        <v>810</v>
      </c>
      <c r="B23" s="157">
        <v>113</v>
      </c>
    </row>
    <row r="24" ht="18.6" customHeight="1" spans="1:2">
      <c r="A24" s="149" t="s">
        <v>811</v>
      </c>
      <c r="B24" s="157">
        <v>5</v>
      </c>
    </row>
    <row r="25" ht="18.6" customHeight="1" spans="1:2">
      <c r="A25" s="149" t="s">
        <v>812</v>
      </c>
      <c r="B25" s="157">
        <v>30</v>
      </c>
    </row>
    <row r="26" ht="18.6" customHeight="1" spans="1:2">
      <c r="A26" s="149" t="s">
        <v>813</v>
      </c>
      <c r="B26" s="157">
        <v>20</v>
      </c>
    </row>
    <row r="27" ht="18.6" customHeight="1" spans="1:2">
      <c r="A27" s="149" t="s">
        <v>814</v>
      </c>
      <c r="B27" s="157">
        <v>10</v>
      </c>
    </row>
    <row r="28" ht="18.6" customHeight="1" spans="1:2">
      <c r="A28" s="149" t="s">
        <v>815</v>
      </c>
      <c r="B28" s="157">
        <v>8</v>
      </c>
    </row>
    <row r="29" ht="18.6" customHeight="1" spans="1:2">
      <c r="A29" s="149" t="s">
        <v>816</v>
      </c>
      <c r="B29" s="157">
        <v>20</v>
      </c>
    </row>
    <row r="30" ht="18.6" customHeight="1" spans="1:2">
      <c r="A30" s="149" t="s">
        <v>817</v>
      </c>
      <c r="B30" s="157">
        <v>20</v>
      </c>
    </row>
    <row r="31" ht="18.6" customHeight="1" spans="1:2">
      <c r="A31" s="156" t="s">
        <v>818</v>
      </c>
      <c r="B31" s="157">
        <v>1454</v>
      </c>
    </row>
    <row r="32" ht="18.6" customHeight="1" spans="1:2">
      <c r="A32" s="149" t="s">
        <v>819</v>
      </c>
      <c r="B32" s="157">
        <v>14</v>
      </c>
    </row>
    <row r="33" ht="18.6" customHeight="1" spans="1:2">
      <c r="A33" s="149" t="s">
        <v>820</v>
      </c>
      <c r="B33" s="157">
        <v>178</v>
      </c>
    </row>
    <row r="34" ht="18.6" customHeight="1" spans="1:2">
      <c r="A34" s="149" t="s">
        <v>821</v>
      </c>
      <c r="B34" s="157">
        <v>53</v>
      </c>
    </row>
    <row r="35" ht="18.6" customHeight="1" spans="1:2">
      <c r="A35" s="149" t="s">
        <v>822</v>
      </c>
      <c r="B35" s="157">
        <v>57</v>
      </c>
    </row>
    <row r="36" ht="18.6" customHeight="1" spans="1:2">
      <c r="A36" s="149" t="s">
        <v>823</v>
      </c>
      <c r="B36" s="157">
        <v>61</v>
      </c>
    </row>
    <row r="37" ht="18.6" customHeight="1" spans="1:2">
      <c r="A37" s="149" t="s">
        <v>824</v>
      </c>
      <c r="B37" s="157">
        <v>28</v>
      </c>
    </row>
    <row r="38" ht="18.6" customHeight="1" spans="1:2">
      <c r="A38" s="149" t="s">
        <v>825</v>
      </c>
      <c r="B38" s="157">
        <v>214</v>
      </c>
    </row>
    <row r="39" ht="18.6" customHeight="1" spans="1:2">
      <c r="A39" s="149" t="s">
        <v>826</v>
      </c>
      <c r="B39" s="157">
        <v>57</v>
      </c>
    </row>
    <row r="40" ht="18.6" customHeight="1" spans="1:2">
      <c r="A40" s="149" t="s">
        <v>827</v>
      </c>
      <c r="B40" s="157">
        <v>12</v>
      </c>
    </row>
    <row r="41" ht="18.6" customHeight="1" spans="1:2">
      <c r="A41" s="149" t="s">
        <v>828</v>
      </c>
      <c r="B41" s="157">
        <v>2</v>
      </c>
    </row>
    <row r="42" ht="18.6" customHeight="1" spans="1:2">
      <c r="A42" s="149" t="s">
        <v>829</v>
      </c>
      <c r="B42" s="157">
        <v>-10</v>
      </c>
    </row>
    <row r="43" ht="18.6" customHeight="1" spans="1:2">
      <c r="A43" s="149" t="s">
        <v>830</v>
      </c>
      <c r="B43" s="157">
        <v>340</v>
      </c>
    </row>
    <row r="44" ht="18.6" customHeight="1" spans="1:2">
      <c r="A44" s="149" t="s">
        <v>831</v>
      </c>
      <c r="B44" s="157">
        <v>11</v>
      </c>
    </row>
    <row r="45" ht="18.6" customHeight="1" spans="1:2">
      <c r="A45" s="149" t="s">
        <v>832</v>
      </c>
      <c r="B45" s="157">
        <v>11</v>
      </c>
    </row>
    <row r="46" ht="18.6" customHeight="1" spans="1:2">
      <c r="A46" s="149" t="s">
        <v>833</v>
      </c>
      <c r="B46" s="157">
        <v>2</v>
      </c>
    </row>
    <row r="47" ht="18.6" customHeight="1" spans="1:2">
      <c r="A47" s="149" t="s">
        <v>834</v>
      </c>
      <c r="B47" s="157">
        <v>20</v>
      </c>
    </row>
    <row r="48" ht="18.6" customHeight="1" spans="1:2">
      <c r="A48" s="149" t="s">
        <v>835</v>
      </c>
      <c r="B48" s="157">
        <v>182</v>
      </c>
    </row>
    <row r="49" ht="18.6" customHeight="1" spans="1:2">
      <c r="A49" s="149" t="s">
        <v>836</v>
      </c>
      <c r="B49" s="157">
        <v>33</v>
      </c>
    </row>
    <row r="50" ht="18.6" customHeight="1" spans="1:2">
      <c r="A50" s="149" t="s">
        <v>837</v>
      </c>
      <c r="B50" s="157">
        <v>75</v>
      </c>
    </row>
    <row r="51" ht="18.6" customHeight="1" spans="1:2">
      <c r="A51" s="149" t="s">
        <v>838</v>
      </c>
      <c r="B51" s="157">
        <v>19</v>
      </c>
    </row>
    <row r="52" ht="18.6" customHeight="1" spans="1:2">
      <c r="A52" s="149" t="s">
        <v>839</v>
      </c>
      <c r="B52" s="157">
        <v>53</v>
      </c>
    </row>
    <row r="53" ht="18.6" customHeight="1" spans="1:2">
      <c r="A53" s="149" t="s">
        <v>840</v>
      </c>
      <c r="B53" s="157">
        <v>5</v>
      </c>
    </row>
    <row r="54" ht="18.6" customHeight="1" spans="1:2">
      <c r="A54" s="149" t="s">
        <v>841</v>
      </c>
      <c r="B54" s="157">
        <v>1</v>
      </c>
    </row>
    <row r="55" ht="18.6" customHeight="1" spans="1:2">
      <c r="A55" s="149" t="s">
        <v>842</v>
      </c>
      <c r="B55" s="157">
        <v>14</v>
      </c>
    </row>
    <row r="56" ht="18.6" customHeight="1" spans="1:2">
      <c r="A56" s="149" t="s">
        <v>843</v>
      </c>
      <c r="B56" s="157">
        <v>9</v>
      </c>
    </row>
    <row r="57" ht="18.6" customHeight="1" spans="1:2">
      <c r="A57" s="149" t="s">
        <v>844</v>
      </c>
      <c r="B57" s="157">
        <v>5</v>
      </c>
    </row>
    <row r="58" ht="18.6" customHeight="1" spans="1:2">
      <c r="A58" s="149" t="s">
        <v>845</v>
      </c>
      <c r="B58" s="157">
        <v>3</v>
      </c>
    </row>
    <row r="59" ht="18.6" customHeight="1" spans="1:2">
      <c r="A59" s="149" t="s">
        <v>846</v>
      </c>
      <c r="B59" s="157">
        <v>5</v>
      </c>
    </row>
    <row r="60" ht="18.6" customHeight="1" spans="1:2">
      <c r="A60" s="156" t="s">
        <v>847</v>
      </c>
      <c r="B60" s="157">
        <v>58</v>
      </c>
    </row>
    <row r="61" ht="18.6" customHeight="1" spans="1:2">
      <c r="A61" s="149" t="s">
        <v>848</v>
      </c>
      <c r="B61" s="157">
        <v>58</v>
      </c>
    </row>
    <row r="62" ht="18.6" customHeight="1" spans="1:2">
      <c r="A62" s="156" t="s">
        <v>849</v>
      </c>
      <c r="B62" s="157">
        <v>759</v>
      </c>
    </row>
    <row r="63" ht="18.6" customHeight="1" spans="1:2">
      <c r="A63" s="149" t="s">
        <v>850</v>
      </c>
      <c r="B63" s="157">
        <v>105</v>
      </c>
    </row>
    <row r="64" ht="18.6" customHeight="1" spans="1:2">
      <c r="A64" s="149" t="s">
        <v>851</v>
      </c>
      <c r="B64" s="157">
        <v>1</v>
      </c>
    </row>
    <row r="65" ht="18.6" customHeight="1" spans="1:2">
      <c r="A65" s="149" t="s">
        <v>852</v>
      </c>
      <c r="B65" s="157">
        <v>245</v>
      </c>
    </row>
    <row r="66" ht="18.6" customHeight="1" spans="1:2">
      <c r="A66" s="149" t="s">
        <v>853</v>
      </c>
      <c r="B66" s="157">
        <v>3</v>
      </c>
    </row>
    <row r="67" ht="18.6" customHeight="1" spans="1:2">
      <c r="A67" s="149" t="s">
        <v>854</v>
      </c>
      <c r="B67" s="157">
        <v>6</v>
      </c>
    </row>
    <row r="68" ht="18.6" customHeight="1" spans="1:2">
      <c r="A68" s="149" t="s">
        <v>855</v>
      </c>
      <c r="B68" s="157">
        <v>23</v>
      </c>
    </row>
    <row r="69" ht="18.6" customHeight="1" spans="1:2">
      <c r="A69" s="149" t="s">
        <v>856</v>
      </c>
      <c r="B69" s="157">
        <v>2</v>
      </c>
    </row>
    <row r="70" ht="18.6" customHeight="1" spans="1:2">
      <c r="A70" s="149" t="s">
        <v>857</v>
      </c>
      <c r="B70" s="157">
        <v>-10</v>
      </c>
    </row>
    <row r="71" ht="18.6" customHeight="1" spans="1:2">
      <c r="A71" s="149" t="s">
        <v>821</v>
      </c>
      <c r="B71" s="157">
        <v>1</v>
      </c>
    </row>
    <row r="72" ht="18.6" customHeight="1" spans="1:2">
      <c r="A72" s="149" t="s">
        <v>858</v>
      </c>
      <c r="B72" s="157">
        <v>1</v>
      </c>
    </row>
    <row r="73" ht="18.6" customHeight="1" spans="1:2">
      <c r="A73" s="149" t="s">
        <v>859</v>
      </c>
      <c r="B73" s="157">
        <v>15</v>
      </c>
    </row>
    <row r="74" ht="18.6" customHeight="1" spans="1:2">
      <c r="A74" s="149" t="s">
        <v>860</v>
      </c>
      <c r="B74" s="157">
        <v>45</v>
      </c>
    </row>
    <row r="75" ht="18.6" customHeight="1" spans="1:2">
      <c r="A75" s="149" t="s">
        <v>861</v>
      </c>
      <c r="B75" s="157">
        <v>144</v>
      </c>
    </row>
    <row r="76" ht="18.6" customHeight="1" spans="1:2">
      <c r="A76" s="149" t="s">
        <v>862</v>
      </c>
      <c r="B76" s="157">
        <v>57</v>
      </c>
    </row>
    <row r="77" ht="18.6" customHeight="1" spans="1:2">
      <c r="A77" s="149" t="s">
        <v>821</v>
      </c>
      <c r="B77" s="157">
        <v>6</v>
      </c>
    </row>
    <row r="78" ht="18.6" customHeight="1" spans="1:2">
      <c r="A78" s="149" t="s">
        <v>863</v>
      </c>
      <c r="B78" s="157">
        <v>42</v>
      </c>
    </row>
    <row r="79" ht="18.6" customHeight="1" spans="1:2">
      <c r="A79" s="149" t="s">
        <v>864</v>
      </c>
      <c r="B79" s="157">
        <v>3</v>
      </c>
    </row>
    <row r="80" ht="18.6" customHeight="1" spans="1:2">
      <c r="A80" s="149" t="s">
        <v>861</v>
      </c>
      <c r="B80" s="157">
        <v>37</v>
      </c>
    </row>
    <row r="81" ht="18.6" customHeight="1" spans="1:2">
      <c r="A81" s="149" t="s">
        <v>862</v>
      </c>
      <c r="B81" s="157">
        <v>15</v>
      </c>
    </row>
    <row r="82" ht="18.6" customHeight="1" spans="1:2">
      <c r="A82" s="149" t="s">
        <v>865</v>
      </c>
      <c r="B82" s="157">
        <v>18</v>
      </c>
    </row>
    <row r="83" ht="18.6" customHeight="1" spans="1:2">
      <c r="A83" s="156" t="s">
        <v>866</v>
      </c>
      <c r="B83" s="157">
        <v>14811</v>
      </c>
    </row>
    <row r="84" ht="18.6" customHeight="1" spans="1:2">
      <c r="A84" s="149" t="s">
        <v>867</v>
      </c>
      <c r="B84" s="157">
        <v>100</v>
      </c>
    </row>
    <row r="85" ht="18.6" customHeight="1" spans="1:2">
      <c r="A85" s="149" t="s">
        <v>868</v>
      </c>
      <c r="B85" s="157">
        <v>268</v>
      </c>
    </row>
    <row r="86" ht="18.6" customHeight="1" spans="1:2">
      <c r="A86" s="149" t="s">
        <v>869</v>
      </c>
      <c r="B86" s="157">
        <v>350</v>
      </c>
    </row>
    <row r="87" ht="18.6" customHeight="1" spans="1:2">
      <c r="A87" s="149" t="s">
        <v>870</v>
      </c>
      <c r="B87" s="157">
        <v>446</v>
      </c>
    </row>
    <row r="88" ht="18.6" customHeight="1" spans="1:2">
      <c r="A88" s="149" t="s">
        <v>871</v>
      </c>
      <c r="B88" s="157">
        <v>1</v>
      </c>
    </row>
    <row r="89" ht="18.6" customHeight="1" spans="1:2">
      <c r="A89" s="149" t="s">
        <v>872</v>
      </c>
      <c r="B89" s="157">
        <v>2</v>
      </c>
    </row>
    <row r="90" ht="18.6" customHeight="1" spans="1:2">
      <c r="A90" s="149" t="s">
        <v>873</v>
      </c>
      <c r="B90" s="157">
        <v>530</v>
      </c>
    </row>
    <row r="91" ht="18.6" customHeight="1" spans="1:2">
      <c r="A91" s="149" t="s">
        <v>874</v>
      </c>
      <c r="B91" s="157">
        <v>40</v>
      </c>
    </row>
    <row r="92" ht="18.6" customHeight="1" spans="1:2">
      <c r="A92" s="149" t="s">
        <v>875</v>
      </c>
      <c r="B92" s="157">
        <v>266</v>
      </c>
    </row>
    <row r="93" ht="18.6" customHeight="1" spans="1:2">
      <c r="A93" s="149" t="s">
        <v>875</v>
      </c>
      <c r="B93" s="157">
        <v>10</v>
      </c>
    </row>
    <row r="94" ht="18.6" customHeight="1" spans="1:2">
      <c r="A94" s="149" t="s">
        <v>876</v>
      </c>
      <c r="B94" s="157">
        <v>27</v>
      </c>
    </row>
    <row r="95" ht="18.6" customHeight="1" spans="1:2">
      <c r="A95" s="149" t="s">
        <v>877</v>
      </c>
      <c r="B95" s="157">
        <v>0</v>
      </c>
    </row>
    <row r="96" ht="18.6" customHeight="1" spans="1:2">
      <c r="A96" s="149" t="s">
        <v>878</v>
      </c>
      <c r="B96" s="157">
        <v>0</v>
      </c>
    </row>
    <row r="97" ht="18.6" customHeight="1" spans="1:2">
      <c r="A97" s="149" t="s">
        <v>879</v>
      </c>
      <c r="B97" s="157">
        <v>0</v>
      </c>
    </row>
    <row r="98" ht="18.6" customHeight="1" spans="1:2">
      <c r="A98" s="149" t="s">
        <v>878</v>
      </c>
      <c r="B98" s="157">
        <v>0</v>
      </c>
    </row>
    <row r="99" ht="18.6" customHeight="1" spans="1:2">
      <c r="A99" s="149" t="s">
        <v>880</v>
      </c>
      <c r="B99" s="157">
        <v>28</v>
      </c>
    </row>
    <row r="100" ht="18.6" customHeight="1" spans="1:2">
      <c r="A100" s="149" t="s">
        <v>881</v>
      </c>
      <c r="B100" s="157">
        <v>1</v>
      </c>
    </row>
    <row r="101" ht="18.6" customHeight="1" spans="1:2">
      <c r="A101" s="149" t="s">
        <v>882</v>
      </c>
      <c r="B101" s="157">
        <v>0</v>
      </c>
    </row>
    <row r="102" ht="18.6" customHeight="1" spans="1:2">
      <c r="A102" s="149" t="s">
        <v>883</v>
      </c>
      <c r="B102" s="157">
        <v>23</v>
      </c>
    </row>
    <row r="103" ht="18.6" customHeight="1" spans="1:2">
      <c r="A103" s="149" t="s">
        <v>884</v>
      </c>
      <c r="B103" s="157">
        <v>67</v>
      </c>
    </row>
    <row r="104" ht="18.6" customHeight="1" spans="1:2">
      <c r="A104" s="149" t="s">
        <v>885</v>
      </c>
      <c r="B104" s="157">
        <v>10</v>
      </c>
    </row>
    <row r="105" ht="18.6" customHeight="1" spans="1:2">
      <c r="A105" s="149" t="s">
        <v>886</v>
      </c>
      <c r="B105" s="157">
        <v>2</v>
      </c>
    </row>
    <row r="106" ht="18.6" customHeight="1" spans="1:2">
      <c r="A106" s="149" t="s">
        <v>887</v>
      </c>
      <c r="B106" s="157">
        <v>31</v>
      </c>
    </row>
    <row r="107" ht="18.6" customHeight="1" spans="1:2">
      <c r="A107" s="149" t="s">
        <v>888</v>
      </c>
      <c r="B107" s="157">
        <v>57</v>
      </c>
    </row>
    <row r="108" ht="18.6" customHeight="1" spans="1:2">
      <c r="A108" s="149" t="s">
        <v>889</v>
      </c>
      <c r="B108" s="157">
        <v>47</v>
      </c>
    </row>
    <row r="109" ht="18.6" customHeight="1" spans="1:2">
      <c r="A109" s="149" t="s">
        <v>888</v>
      </c>
      <c r="B109" s="157">
        <v>2</v>
      </c>
    </row>
    <row r="110" ht="18.6" customHeight="1" spans="1:2">
      <c r="A110" s="149" t="s">
        <v>890</v>
      </c>
      <c r="B110" s="157">
        <v>4</v>
      </c>
    </row>
    <row r="111" ht="18.6" customHeight="1" spans="1:2">
      <c r="A111" s="149" t="s">
        <v>891</v>
      </c>
      <c r="B111" s="157">
        <v>49</v>
      </c>
    </row>
    <row r="112" ht="18.6" customHeight="1" spans="1:2">
      <c r="A112" s="149" t="s">
        <v>892</v>
      </c>
      <c r="B112" s="157">
        <v>21</v>
      </c>
    </row>
    <row r="113" ht="18.6" customHeight="1" spans="1:2">
      <c r="A113" s="149" t="s">
        <v>893</v>
      </c>
      <c r="B113" s="157">
        <v>9</v>
      </c>
    </row>
    <row r="114" ht="18.6" customHeight="1" spans="1:2">
      <c r="A114" s="149" t="s">
        <v>894</v>
      </c>
      <c r="B114" s="157">
        <v>9</v>
      </c>
    </row>
    <row r="115" ht="18.6" customHeight="1" spans="1:2">
      <c r="A115" s="149" t="s">
        <v>895</v>
      </c>
      <c r="B115" s="157">
        <v>3</v>
      </c>
    </row>
    <row r="116" ht="18.6" customHeight="1" spans="1:2">
      <c r="A116" s="149" t="s">
        <v>896</v>
      </c>
      <c r="B116" s="157">
        <v>810</v>
      </c>
    </row>
    <row r="117" ht="18.6" customHeight="1" spans="1:2">
      <c r="A117" s="149" t="s">
        <v>897</v>
      </c>
      <c r="B117" s="157">
        <v>2700</v>
      </c>
    </row>
    <row r="118" ht="18.6" customHeight="1" spans="1:2">
      <c r="A118" s="149" t="s">
        <v>898</v>
      </c>
      <c r="B118" s="157">
        <v>5</v>
      </c>
    </row>
    <row r="119" ht="18.6" customHeight="1" spans="1:2">
      <c r="A119" s="149" t="s">
        <v>899</v>
      </c>
      <c r="B119" s="157">
        <v>6</v>
      </c>
    </row>
    <row r="120" ht="18.6" customHeight="1" spans="1:2">
      <c r="A120" s="149" t="s">
        <v>900</v>
      </c>
      <c r="B120" s="157">
        <v>4</v>
      </c>
    </row>
    <row r="121" ht="18.6" customHeight="1" spans="1:2">
      <c r="A121" s="149" t="s">
        <v>901</v>
      </c>
      <c r="B121" s="157">
        <v>2</v>
      </c>
    </row>
    <row r="122" ht="18.6" customHeight="1" spans="1:2">
      <c r="A122" s="149" t="s">
        <v>902</v>
      </c>
      <c r="B122" s="157">
        <v>0</v>
      </c>
    </row>
    <row r="123" ht="18.6" customHeight="1" spans="1:2">
      <c r="A123" s="149" t="s">
        <v>903</v>
      </c>
      <c r="B123" s="157">
        <v>82</v>
      </c>
    </row>
    <row r="124" ht="18.6" customHeight="1" spans="1:2">
      <c r="A124" s="149" t="s">
        <v>904</v>
      </c>
      <c r="B124" s="157">
        <v>9</v>
      </c>
    </row>
    <row r="125" ht="18.6" customHeight="1" spans="1:2">
      <c r="A125" s="149" t="s">
        <v>905</v>
      </c>
      <c r="B125" s="157">
        <v>105</v>
      </c>
    </row>
    <row r="126" ht="18.6" customHeight="1" spans="1:2">
      <c r="A126" s="149" t="s">
        <v>906</v>
      </c>
      <c r="B126" s="157">
        <v>6</v>
      </c>
    </row>
    <row r="127" ht="18.6" customHeight="1" spans="1:2">
      <c r="A127" s="149" t="s">
        <v>907</v>
      </c>
      <c r="B127" s="157">
        <v>1</v>
      </c>
    </row>
    <row r="128" ht="18.6" customHeight="1" spans="1:2">
      <c r="A128" s="149" t="s">
        <v>908</v>
      </c>
      <c r="B128" s="157">
        <v>5</v>
      </c>
    </row>
    <row r="129" ht="18.6" customHeight="1" spans="1:2">
      <c r="A129" s="149" t="s">
        <v>909</v>
      </c>
      <c r="B129" s="157">
        <v>1</v>
      </c>
    </row>
    <row r="130" ht="18.6" customHeight="1" spans="1:2">
      <c r="A130" s="149" t="s">
        <v>910</v>
      </c>
      <c r="B130" s="157">
        <v>-61</v>
      </c>
    </row>
    <row r="131" ht="18.6" customHeight="1" spans="1:2">
      <c r="A131" s="149" t="s">
        <v>902</v>
      </c>
      <c r="B131" s="157">
        <v>0</v>
      </c>
    </row>
    <row r="132" ht="18.6" customHeight="1" spans="1:2">
      <c r="A132" s="149" t="s">
        <v>911</v>
      </c>
      <c r="B132" s="157">
        <v>90</v>
      </c>
    </row>
    <row r="133" ht="18.6" customHeight="1" spans="1:2">
      <c r="A133" s="149" t="s">
        <v>911</v>
      </c>
      <c r="B133" s="157">
        <v>217</v>
      </c>
    </row>
    <row r="134" ht="18.6" customHeight="1" spans="1:2">
      <c r="A134" s="149" t="s">
        <v>912</v>
      </c>
      <c r="B134" s="157">
        <v>3</v>
      </c>
    </row>
    <row r="135" ht="18.6" customHeight="1" spans="1:2">
      <c r="A135" s="149" t="s">
        <v>913</v>
      </c>
      <c r="B135" s="157">
        <v>9</v>
      </c>
    </row>
    <row r="136" ht="18.6" customHeight="1" spans="1:2">
      <c r="A136" s="149" t="s">
        <v>914</v>
      </c>
      <c r="B136" s="157">
        <v>13</v>
      </c>
    </row>
    <row r="137" ht="18.6" customHeight="1" spans="1:2">
      <c r="A137" s="149" t="s">
        <v>915</v>
      </c>
      <c r="B137" s="157">
        <v>31</v>
      </c>
    </row>
    <row r="138" ht="18.6" customHeight="1" spans="1:2">
      <c r="A138" s="149" t="s">
        <v>916</v>
      </c>
      <c r="B138" s="157">
        <v>3637</v>
      </c>
    </row>
    <row r="139" ht="18.6" customHeight="1" spans="1:2">
      <c r="A139" s="149" t="s">
        <v>917</v>
      </c>
      <c r="B139" s="157">
        <v>989</v>
      </c>
    </row>
    <row r="140" ht="18.6" customHeight="1" spans="1:2">
      <c r="A140" s="149" t="s">
        <v>918</v>
      </c>
      <c r="B140" s="157">
        <v>2404</v>
      </c>
    </row>
    <row r="141" ht="18.6" customHeight="1" spans="1:2">
      <c r="A141" s="149" t="s">
        <v>919</v>
      </c>
      <c r="B141" s="157">
        <v>768</v>
      </c>
    </row>
    <row r="142" ht="18.6" customHeight="1" spans="1:2">
      <c r="A142" s="149" t="s">
        <v>920</v>
      </c>
      <c r="B142" s="157">
        <v>327</v>
      </c>
    </row>
    <row r="143" ht="18.6" customHeight="1" spans="1:2">
      <c r="A143" s="149" t="s">
        <v>921</v>
      </c>
      <c r="B143" s="157">
        <v>242</v>
      </c>
    </row>
    <row r="144" ht="18.6" customHeight="1" spans="1:2">
      <c r="A144" s="149" t="s">
        <v>922</v>
      </c>
      <c r="B144" s="157">
        <v>3</v>
      </c>
    </row>
    <row r="145" ht="18.6" customHeight="1" spans="1:2">
      <c r="A145" s="159" t="s">
        <v>923</v>
      </c>
      <c r="B145" s="157">
        <v>4174</v>
      </c>
    </row>
    <row r="146" ht="18.6" customHeight="1" spans="1:2">
      <c r="A146" s="149" t="s">
        <v>924</v>
      </c>
      <c r="B146" s="157">
        <v>300</v>
      </c>
    </row>
    <row r="147" ht="18.6" customHeight="1" spans="1:2">
      <c r="A147" s="149" t="s">
        <v>925</v>
      </c>
      <c r="B147" s="157">
        <v>45</v>
      </c>
    </row>
    <row r="148" ht="18.6" customHeight="1" spans="1:2">
      <c r="A148" s="149" t="s">
        <v>926</v>
      </c>
      <c r="B148" s="157">
        <v>74</v>
      </c>
    </row>
    <row r="149" ht="18.6" customHeight="1" spans="1:2">
      <c r="A149" s="149" t="s">
        <v>927</v>
      </c>
      <c r="B149" s="157">
        <v>11</v>
      </c>
    </row>
    <row r="150" ht="18.6" customHeight="1" spans="1:2">
      <c r="A150" s="149" t="s">
        <v>928</v>
      </c>
      <c r="B150" s="157">
        <v>1293</v>
      </c>
    </row>
    <row r="151" ht="18.6" customHeight="1" spans="1:2">
      <c r="A151" s="149" t="s">
        <v>929</v>
      </c>
      <c r="B151" s="157">
        <v>435</v>
      </c>
    </row>
    <row r="152" ht="18.6" customHeight="1" spans="1:2">
      <c r="A152" s="149" t="s">
        <v>930</v>
      </c>
      <c r="B152" s="157">
        <v>128</v>
      </c>
    </row>
    <row r="153" ht="18.6" customHeight="1" spans="1:2">
      <c r="A153" s="149" t="s">
        <v>931</v>
      </c>
      <c r="B153" s="157">
        <v>49</v>
      </c>
    </row>
    <row r="154" ht="18.6" customHeight="1" spans="1:2">
      <c r="A154" s="149" t="s">
        <v>932</v>
      </c>
      <c r="B154" s="157">
        <v>86</v>
      </c>
    </row>
    <row r="155" ht="18.6" customHeight="1" spans="1:2">
      <c r="A155" s="149" t="s">
        <v>933</v>
      </c>
      <c r="B155" s="157">
        <v>3</v>
      </c>
    </row>
    <row r="156" ht="18.6" customHeight="1" spans="1:2">
      <c r="A156" s="149" t="s">
        <v>934</v>
      </c>
      <c r="B156" s="157">
        <v>42</v>
      </c>
    </row>
    <row r="157" ht="18.6" customHeight="1" spans="1:2">
      <c r="A157" s="149" t="s">
        <v>935</v>
      </c>
      <c r="B157" s="157">
        <v>5</v>
      </c>
    </row>
    <row r="158" ht="18.6" customHeight="1" spans="1:2">
      <c r="A158" s="149" t="s">
        <v>936</v>
      </c>
      <c r="B158" s="157">
        <v>60</v>
      </c>
    </row>
    <row r="159" ht="18.6" customHeight="1" spans="1:2">
      <c r="A159" s="149" t="s">
        <v>937</v>
      </c>
      <c r="B159" s="157">
        <v>1</v>
      </c>
    </row>
    <row r="160" ht="18.6" customHeight="1" spans="1:2">
      <c r="A160" s="149" t="s">
        <v>938</v>
      </c>
      <c r="B160" s="157">
        <v>24</v>
      </c>
    </row>
    <row r="161" ht="18.6" customHeight="1" spans="1:2">
      <c r="A161" s="149" t="s">
        <v>939</v>
      </c>
      <c r="B161" s="157">
        <v>1</v>
      </c>
    </row>
    <row r="162" ht="18.6" customHeight="1" spans="1:2">
      <c r="A162" s="149" t="s">
        <v>940</v>
      </c>
      <c r="B162" s="157">
        <v>49</v>
      </c>
    </row>
    <row r="163" ht="18.6" customHeight="1" spans="1:2">
      <c r="A163" s="149" t="s">
        <v>940</v>
      </c>
      <c r="B163" s="157">
        <v>13</v>
      </c>
    </row>
    <row r="164" ht="18.6" customHeight="1" spans="1:2">
      <c r="A164" s="149" t="s">
        <v>941</v>
      </c>
      <c r="B164" s="157">
        <v>17</v>
      </c>
    </row>
    <row r="165" ht="18.6" customHeight="1" spans="1:2">
      <c r="A165" s="149" t="s">
        <v>942</v>
      </c>
      <c r="B165" s="157">
        <v>19</v>
      </c>
    </row>
    <row r="166" ht="18.6" customHeight="1" spans="1:2">
      <c r="A166" s="149" t="s">
        <v>942</v>
      </c>
      <c r="B166" s="157">
        <v>2</v>
      </c>
    </row>
    <row r="167" ht="18.6" customHeight="1" spans="1:2">
      <c r="A167" s="149" t="s">
        <v>943</v>
      </c>
      <c r="B167" s="157">
        <v>7</v>
      </c>
    </row>
    <row r="168" ht="18.6" customHeight="1" spans="1:2">
      <c r="A168" s="149" t="s">
        <v>943</v>
      </c>
      <c r="B168" s="157">
        <v>10</v>
      </c>
    </row>
    <row r="169" ht="18.6" customHeight="1" spans="1:2">
      <c r="A169" s="149" t="s">
        <v>944</v>
      </c>
      <c r="B169" s="157">
        <v>5</v>
      </c>
    </row>
    <row r="170" ht="18.6" customHeight="1" spans="1:2">
      <c r="A170" s="149" t="s">
        <v>945</v>
      </c>
      <c r="B170" s="157">
        <v>2</v>
      </c>
    </row>
    <row r="171" ht="18.6" customHeight="1" spans="1:2">
      <c r="A171" s="149" t="s">
        <v>946</v>
      </c>
      <c r="B171" s="157">
        <v>34</v>
      </c>
    </row>
    <row r="172" ht="18.6" customHeight="1" spans="1:2">
      <c r="A172" s="149" t="s">
        <v>947</v>
      </c>
      <c r="B172" s="157">
        <v>30</v>
      </c>
    </row>
    <row r="173" ht="18.6" customHeight="1" spans="1:2">
      <c r="A173" s="149" t="s">
        <v>948</v>
      </c>
      <c r="B173" s="157">
        <v>5</v>
      </c>
    </row>
    <row r="174" ht="18.6" customHeight="1" spans="1:2">
      <c r="A174" s="149" t="s">
        <v>949</v>
      </c>
      <c r="B174" s="157">
        <v>12</v>
      </c>
    </row>
    <row r="175" ht="18.6" customHeight="1" spans="1:2">
      <c r="A175" s="149" t="s">
        <v>950</v>
      </c>
      <c r="B175" s="157">
        <v>9</v>
      </c>
    </row>
    <row r="176" ht="18.6" customHeight="1" spans="1:2">
      <c r="A176" s="149" t="s">
        <v>951</v>
      </c>
      <c r="B176" s="157">
        <v>11</v>
      </c>
    </row>
    <row r="177" ht="18.6" customHeight="1" spans="1:2">
      <c r="A177" s="149" t="s">
        <v>952</v>
      </c>
      <c r="B177" s="157">
        <v>6</v>
      </c>
    </row>
    <row r="178" ht="18.6" customHeight="1" spans="1:2">
      <c r="A178" s="149" t="s">
        <v>953</v>
      </c>
      <c r="B178" s="157">
        <v>26</v>
      </c>
    </row>
    <row r="179" ht="18.6" customHeight="1" spans="1:2">
      <c r="A179" s="149" t="s">
        <v>954</v>
      </c>
      <c r="B179" s="157">
        <v>37</v>
      </c>
    </row>
    <row r="180" ht="18.6" customHeight="1" spans="1:2">
      <c r="A180" s="149" t="s">
        <v>955</v>
      </c>
      <c r="B180" s="157">
        <v>38</v>
      </c>
    </row>
    <row r="181" ht="18.6" customHeight="1" spans="1:2">
      <c r="A181" s="149" t="s">
        <v>956</v>
      </c>
      <c r="B181" s="157">
        <v>4</v>
      </c>
    </row>
    <row r="182" ht="18.6" customHeight="1" spans="1:2">
      <c r="A182" s="149" t="s">
        <v>957</v>
      </c>
      <c r="B182" s="157">
        <v>11</v>
      </c>
    </row>
    <row r="183" ht="18.6" customHeight="1" spans="1:2">
      <c r="A183" s="149" t="s">
        <v>958</v>
      </c>
      <c r="B183" s="157">
        <v>68</v>
      </c>
    </row>
    <row r="184" ht="18.6" customHeight="1" spans="1:2">
      <c r="A184" s="149" t="s">
        <v>959</v>
      </c>
      <c r="B184" s="157">
        <v>3</v>
      </c>
    </row>
    <row r="185" ht="18.6" customHeight="1" spans="1:2">
      <c r="A185" s="149" t="s">
        <v>960</v>
      </c>
      <c r="B185" s="157">
        <v>28</v>
      </c>
    </row>
    <row r="186" ht="18.6" customHeight="1" spans="1:2">
      <c r="A186" s="149" t="s">
        <v>961</v>
      </c>
      <c r="B186" s="157">
        <v>2</v>
      </c>
    </row>
    <row r="187" ht="18.6" customHeight="1" spans="1:2">
      <c r="A187" s="149" t="s">
        <v>962</v>
      </c>
      <c r="B187" s="157">
        <v>38</v>
      </c>
    </row>
    <row r="188" ht="18.6" customHeight="1" spans="1:2">
      <c r="A188" s="149" t="s">
        <v>963</v>
      </c>
      <c r="B188" s="157">
        <v>89</v>
      </c>
    </row>
    <row r="189" ht="18.6" customHeight="1" spans="1:2">
      <c r="A189" s="149" t="s">
        <v>964</v>
      </c>
      <c r="B189" s="157">
        <v>35</v>
      </c>
    </row>
    <row r="190" ht="18.6" customHeight="1" spans="1:2">
      <c r="A190" s="149" t="s">
        <v>965</v>
      </c>
      <c r="B190" s="157">
        <v>4</v>
      </c>
    </row>
    <row r="191" ht="18.6" customHeight="1" spans="1:2">
      <c r="A191" s="149" t="s">
        <v>966</v>
      </c>
      <c r="B191" s="157">
        <v>262</v>
      </c>
    </row>
    <row r="192" ht="18.6" customHeight="1" spans="1:2">
      <c r="A192" s="149" t="s">
        <v>967</v>
      </c>
      <c r="B192" s="157">
        <v>92</v>
      </c>
    </row>
    <row r="193" ht="18.6" customHeight="1" spans="1:2">
      <c r="A193" s="149" t="s">
        <v>968</v>
      </c>
      <c r="B193" s="157">
        <v>154</v>
      </c>
    </row>
    <row r="194" ht="18.6" customHeight="1" spans="1:2">
      <c r="A194" s="149" t="s">
        <v>969</v>
      </c>
      <c r="B194" s="157">
        <v>33</v>
      </c>
    </row>
    <row r="195" ht="18.6" customHeight="1" spans="1:2">
      <c r="A195" s="149" t="s">
        <v>970</v>
      </c>
      <c r="B195" s="157">
        <v>46</v>
      </c>
    </row>
    <row r="196" ht="18.6" customHeight="1" spans="1:2">
      <c r="A196" s="149" t="s">
        <v>971</v>
      </c>
      <c r="B196" s="157">
        <v>32</v>
      </c>
    </row>
    <row r="197" ht="18.6" customHeight="1" spans="1:2">
      <c r="A197" s="149" t="s">
        <v>972</v>
      </c>
      <c r="B197" s="157">
        <v>21</v>
      </c>
    </row>
    <row r="198" ht="18.6" customHeight="1" spans="1:2">
      <c r="A198" s="149" t="s">
        <v>973</v>
      </c>
      <c r="B198" s="157">
        <v>5</v>
      </c>
    </row>
    <row r="199" ht="18.6" customHeight="1" spans="1:2">
      <c r="A199" s="149" t="s">
        <v>974</v>
      </c>
      <c r="B199" s="157">
        <v>14</v>
      </c>
    </row>
    <row r="200" ht="18.6" customHeight="1" spans="1:2">
      <c r="A200" s="149" t="s">
        <v>975</v>
      </c>
      <c r="B200" s="157">
        <v>2</v>
      </c>
    </row>
    <row r="201" ht="18.6" customHeight="1" spans="1:2">
      <c r="A201" s="149" t="s">
        <v>976</v>
      </c>
      <c r="B201" s="157">
        <v>330</v>
      </c>
    </row>
    <row r="202" ht="18.6" customHeight="1" spans="1:2">
      <c r="A202" s="149" t="s">
        <v>977</v>
      </c>
      <c r="B202" s="157">
        <v>10</v>
      </c>
    </row>
    <row r="203" ht="18.6" customHeight="1" spans="1:2">
      <c r="A203" s="149" t="s">
        <v>978</v>
      </c>
      <c r="B203" s="157">
        <v>2</v>
      </c>
    </row>
    <row r="204" ht="18.6" customHeight="1" spans="1:2">
      <c r="A204" s="159" t="s">
        <v>979</v>
      </c>
      <c r="B204" s="157">
        <v>2847</v>
      </c>
    </row>
    <row r="205" ht="18.6" customHeight="1" spans="1:2">
      <c r="A205" s="149" t="s">
        <v>980</v>
      </c>
      <c r="B205" s="157">
        <v>134</v>
      </c>
    </row>
    <row r="206" ht="18.6" customHeight="1" spans="1:2">
      <c r="A206" s="149" t="s">
        <v>981</v>
      </c>
      <c r="B206" s="157">
        <v>22</v>
      </c>
    </row>
    <row r="207" ht="18.6" customHeight="1" spans="1:2">
      <c r="A207" s="149" t="s">
        <v>982</v>
      </c>
      <c r="B207" s="157">
        <v>84</v>
      </c>
    </row>
    <row r="208" ht="18.6" customHeight="1" spans="1:2">
      <c r="A208" s="149" t="s">
        <v>983</v>
      </c>
      <c r="B208" s="157">
        <v>29</v>
      </c>
    </row>
    <row r="209" ht="18.6" customHeight="1" spans="1:2">
      <c r="A209" s="149" t="s">
        <v>984</v>
      </c>
      <c r="B209" s="157">
        <v>5</v>
      </c>
    </row>
    <row r="210" ht="18.6" customHeight="1" spans="1:2">
      <c r="A210" s="149" t="s">
        <v>985</v>
      </c>
      <c r="B210" s="157">
        <v>70</v>
      </c>
    </row>
    <row r="211" ht="18.6" customHeight="1" spans="1:2">
      <c r="A211" s="149" t="s">
        <v>983</v>
      </c>
      <c r="B211" s="157">
        <v>363</v>
      </c>
    </row>
    <row r="212" ht="18.6" customHeight="1" spans="1:2">
      <c r="A212" s="149" t="s">
        <v>986</v>
      </c>
      <c r="B212" s="157">
        <v>800</v>
      </c>
    </row>
    <row r="213" ht="18.6" customHeight="1" spans="1:2">
      <c r="A213" s="149" t="s">
        <v>984</v>
      </c>
      <c r="B213" s="157">
        <v>1000</v>
      </c>
    </row>
    <row r="214" ht="18.6" customHeight="1" spans="1:2">
      <c r="A214" s="149" t="s">
        <v>987</v>
      </c>
      <c r="B214" s="157">
        <v>100</v>
      </c>
    </row>
    <row r="215" ht="18.6" customHeight="1" spans="1:2">
      <c r="A215" s="149" t="s">
        <v>988</v>
      </c>
      <c r="B215" s="157">
        <v>90</v>
      </c>
    </row>
    <row r="216" ht="18.6" customHeight="1" spans="1:2">
      <c r="A216" s="149" t="s">
        <v>989</v>
      </c>
      <c r="B216" s="157">
        <v>77</v>
      </c>
    </row>
    <row r="217" ht="18.6" customHeight="1" spans="1:2">
      <c r="A217" s="149" t="s">
        <v>990</v>
      </c>
      <c r="B217" s="157">
        <v>41</v>
      </c>
    </row>
    <row r="218" ht="18.6" customHeight="1" spans="1:2">
      <c r="A218" s="149" t="s">
        <v>991</v>
      </c>
      <c r="B218" s="157">
        <v>32</v>
      </c>
    </row>
    <row r="219" ht="18.6" customHeight="1" spans="1:2">
      <c r="A219" s="159" t="s">
        <v>992</v>
      </c>
      <c r="B219" s="157">
        <v>168</v>
      </c>
    </row>
    <row r="220" ht="18.6" customHeight="1" spans="1:2">
      <c r="A220" s="149" t="s">
        <v>993</v>
      </c>
      <c r="B220" s="157">
        <v>133</v>
      </c>
    </row>
    <row r="221" ht="18.6" customHeight="1" spans="1:2">
      <c r="A221" s="149" t="s">
        <v>994</v>
      </c>
      <c r="B221" s="157">
        <v>35</v>
      </c>
    </row>
    <row r="222" ht="18.6" customHeight="1" spans="1:2">
      <c r="A222" s="159" t="s">
        <v>995</v>
      </c>
      <c r="B222" s="157">
        <v>4354</v>
      </c>
    </row>
    <row r="223" ht="18.6" customHeight="1" spans="1:2">
      <c r="A223" s="149" t="s">
        <v>996</v>
      </c>
      <c r="B223" s="157">
        <v>50</v>
      </c>
    </row>
    <row r="224" ht="18.6" customHeight="1" spans="1:2">
      <c r="A224" s="149" t="s">
        <v>997</v>
      </c>
      <c r="B224" s="157">
        <v>131</v>
      </c>
    </row>
    <row r="225" ht="18.6" customHeight="1" spans="1:2">
      <c r="A225" s="149" t="s">
        <v>998</v>
      </c>
      <c r="B225" s="157">
        <v>10</v>
      </c>
    </row>
    <row r="226" ht="18.6" customHeight="1" spans="1:2">
      <c r="A226" s="149" t="s">
        <v>999</v>
      </c>
      <c r="B226" s="157">
        <v>20</v>
      </c>
    </row>
    <row r="227" ht="18.6" customHeight="1" spans="1:2">
      <c r="A227" s="149" t="s">
        <v>1000</v>
      </c>
      <c r="B227" s="157">
        <v>14</v>
      </c>
    </row>
    <row r="228" ht="18.6" customHeight="1" spans="1:2">
      <c r="A228" s="149" t="s">
        <v>1001</v>
      </c>
      <c r="B228" s="157">
        <v>9</v>
      </c>
    </row>
    <row r="229" ht="18.6" customHeight="1" spans="1:2">
      <c r="A229" s="149" t="s">
        <v>1002</v>
      </c>
      <c r="B229" s="157">
        <v>50</v>
      </c>
    </row>
    <row r="230" ht="18.6" customHeight="1" spans="1:2">
      <c r="A230" s="149" t="s">
        <v>1003</v>
      </c>
      <c r="B230" s="157">
        <v>8</v>
      </c>
    </row>
    <row r="231" ht="18.6" customHeight="1" spans="1:2">
      <c r="A231" s="149" t="s">
        <v>1004</v>
      </c>
      <c r="B231" s="157">
        <v>10</v>
      </c>
    </row>
    <row r="232" ht="18.6" customHeight="1" spans="1:2">
      <c r="A232" s="149" t="s">
        <v>1005</v>
      </c>
      <c r="B232" s="157">
        <v>15</v>
      </c>
    </row>
    <row r="233" ht="18.6" customHeight="1" spans="1:2">
      <c r="A233" s="149" t="s">
        <v>1006</v>
      </c>
      <c r="B233" s="157">
        <v>53</v>
      </c>
    </row>
    <row r="234" ht="18.6" customHeight="1" spans="1:2">
      <c r="A234" s="149" t="s">
        <v>1007</v>
      </c>
      <c r="B234" s="157">
        <v>38</v>
      </c>
    </row>
    <row r="235" ht="18.6" customHeight="1" spans="1:2">
      <c r="A235" s="149" t="s">
        <v>996</v>
      </c>
      <c r="B235" s="157">
        <v>60</v>
      </c>
    </row>
    <row r="236" ht="18.6" customHeight="1" spans="1:2">
      <c r="A236" s="149" t="s">
        <v>997</v>
      </c>
      <c r="B236" s="157">
        <v>250</v>
      </c>
    </row>
    <row r="237" ht="18.6" customHeight="1" spans="1:2">
      <c r="A237" s="149" t="s">
        <v>1008</v>
      </c>
      <c r="B237" s="157">
        <v>1134</v>
      </c>
    </row>
    <row r="238" ht="18.6" customHeight="1" spans="1:2">
      <c r="A238" s="149" t="s">
        <v>1009</v>
      </c>
      <c r="B238" s="157">
        <v>301</v>
      </c>
    </row>
    <row r="239" ht="18.6" customHeight="1" spans="1:2">
      <c r="A239" s="149" t="s">
        <v>1010</v>
      </c>
      <c r="B239" s="157">
        <v>290</v>
      </c>
    </row>
    <row r="240" ht="18.6" customHeight="1" spans="1:2">
      <c r="A240" s="149" t="s">
        <v>1011</v>
      </c>
      <c r="B240" s="157">
        <v>322</v>
      </c>
    </row>
    <row r="241" ht="18.6" customHeight="1" spans="1:2">
      <c r="A241" s="149" t="s">
        <v>1012</v>
      </c>
      <c r="B241" s="157">
        <v>-1757</v>
      </c>
    </row>
    <row r="242" ht="18.6" customHeight="1" spans="1:2">
      <c r="A242" s="149" t="s">
        <v>997</v>
      </c>
      <c r="B242" s="157">
        <v>65</v>
      </c>
    </row>
    <row r="243" ht="18.6" customHeight="1" spans="1:2">
      <c r="A243" s="149" t="s">
        <v>1013</v>
      </c>
      <c r="B243" s="157">
        <v>21</v>
      </c>
    </row>
    <row r="244" ht="18.6" customHeight="1" spans="1:2">
      <c r="A244" s="149" t="s">
        <v>1014</v>
      </c>
      <c r="B244" s="157">
        <v>169</v>
      </c>
    </row>
    <row r="245" ht="18.6" customHeight="1" spans="1:2">
      <c r="A245" s="149" t="s">
        <v>1015</v>
      </c>
      <c r="B245" s="157">
        <v>67</v>
      </c>
    </row>
    <row r="246" ht="18.6" customHeight="1" spans="1:2">
      <c r="A246" s="149" t="s">
        <v>1016</v>
      </c>
      <c r="B246" s="157">
        <v>5</v>
      </c>
    </row>
    <row r="247" ht="18.6" customHeight="1" spans="1:2">
      <c r="A247" s="149" t="s">
        <v>1017</v>
      </c>
      <c r="B247" s="157">
        <v>25</v>
      </c>
    </row>
    <row r="248" ht="18.6" customHeight="1" spans="1:2">
      <c r="A248" s="149" t="s">
        <v>1018</v>
      </c>
      <c r="B248" s="157">
        <v>5</v>
      </c>
    </row>
    <row r="249" ht="18.6" customHeight="1" spans="1:2">
      <c r="A249" s="149" t="s">
        <v>1019</v>
      </c>
      <c r="B249" s="157">
        <v>5</v>
      </c>
    </row>
    <row r="250" ht="18.6" customHeight="1" spans="1:2">
      <c r="A250" s="149" t="s">
        <v>1020</v>
      </c>
      <c r="B250" s="157">
        <v>115</v>
      </c>
    </row>
    <row r="251" ht="18.6" customHeight="1" spans="1:2">
      <c r="A251" s="149" t="s">
        <v>1021</v>
      </c>
      <c r="B251" s="157">
        <v>38</v>
      </c>
    </row>
    <row r="252" ht="18.6" customHeight="1" spans="1:2">
      <c r="A252" s="149" t="s">
        <v>1022</v>
      </c>
      <c r="B252" s="157">
        <v>8</v>
      </c>
    </row>
    <row r="253" ht="18.6" customHeight="1" spans="1:2">
      <c r="A253" s="149" t="s">
        <v>1023</v>
      </c>
      <c r="B253" s="157">
        <v>8</v>
      </c>
    </row>
    <row r="254" ht="18.6" customHeight="1" spans="1:2">
      <c r="A254" s="149" t="s">
        <v>1024</v>
      </c>
      <c r="B254" s="157">
        <v>43</v>
      </c>
    </row>
    <row r="255" ht="18.6" customHeight="1" spans="1:2">
      <c r="A255" s="149" t="s">
        <v>1025</v>
      </c>
      <c r="B255" s="157">
        <v>10</v>
      </c>
    </row>
    <row r="256" ht="18.6" customHeight="1" spans="1:2">
      <c r="A256" s="149" t="s">
        <v>1026</v>
      </c>
      <c r="B256" s="157">
        <v>10</v>
      </c>
    </row>
    <row r="257" ht="18.6" customHeight="1" spans="1:2">
      <c r="A257" s="149" t="s">
        <v>1027</v>
      </c>
      <c r="B257" s="157">
        <v>50</v>
      </c>
    </row>
    <row r="258" ht="18.6" customHeight="1" spans="1:2">
      <c r="A258" s="149" t="s">
        <v>1028</v>
      </c>
      <c r="B258" s="157">
        <v>1</v>
      </c>
    </row>
    <row r="259" ht="18.6" customHeight="1" spans="1:2">
      <c r="A259" s="149" t="s">
        <v>1029</v>
      </c>
      <c r="B259" s="157">
        <v>6</v>
      </c>
    </row>
    <row r="260" ht="18.6" customHeight="1" spans="1:2">
      <c r="A260" s="149" t="s">
        <v>1030</v>
      </c>
      <c r="B260" s="157">
        <v>8</v>
      </c>
    </row>
    <row r="261" ht="18.6" customHeight="1" spans="1:2">
      <c r="A261" s="149" t="s">
        <v>997</v>
      </c>
      <c r="B261" s="157">
        <v>50</v>
      </c>
    </row>
    <row r="262" ht="18.6" customHeight="1" spans="1:2">
      <c r="A262" s="149" t="s">
        <v>1031</v>
      </c>
      <c r="B262" s="157">
        <v>1</v>
      </c>
    </row>
    <row r="263" ht="18.6" customHeight="1" spans="1:2">
      <c r="A263" s="149" t="s">
        <v>1032</v>
      </c>
      <c r="B263" s="157">
        <v>50</v>
      </c>
    </row>
    <row r="264" ht="18.6" customHeight="1" spans="1:2">
      <c r="A264" s="149" t="s">
        <v>1033</v>
      </c>
      <c r="B264" s="157">
        <v>10</v>
      </c>
    </row>
    <row r="265" ht="18.6" customHeight="1" spans="1:2">
      <c r="A265" s="149" t="s">
        <v>1034</v>
      </c>
      <c r="B265" s="157">
        <v>213</v>
      </c>
    </row>
    <row r="266" ht="18.6" customHeight="1" spans="1:2">
      <c r="A266" s="149" t="s">
        <v>1035</v>
      </c>
      <c r="B266" s="157">
        <v>69</v>
      </c>
    </row>
    <row r="267" ht="18.6" customHeight="1" spans="1:2">
      <c r="A267" s="149" t="s">
        <v>1036</v>
      </c>
      <c r="B267" s="157">
        <v>20</v>
      </c>
    </row>
    <row r="268" ht="18.6" customHeight="1" spans="1:2">
      <c r="A268" s="149" t="s">
        <v>1037</v>
      </c>
      <c r="B268" s="157">
        <v>2</v>
      </c>
    </row>
    <row r="269" ht="18.6" customHeight="1" spans="1:2">
      <c r="A269" s="149" t="s">
        <v>1036</v>
      </c>
      <c r="B269" s="157">
        <v>30</v>
      </c>
    </row>
    <row r="270" ht="18.6" customHeight="1" spans="1:2">
      <c r="A270" s="149" t="s">
        <v>1038</v>
      </c>
      <c r="B270" s="157">
        <v>3</v>
      </c>
    </row>
    <row r="271" ht="18.6" customHeight="1" spans="1:2">
      <c r="A271" s="149" t="s">
        <v>1039</v>
      </c>
      <c r="B271" s="157">
        <v>78</v>
      </c>
    </row>
    <row r="272" ht="18.6" customHeight="1" spans="1:2">
      <c r="A272" s="149" t="s">
        <v>1036</v>
      </c>
      <c r="B272" s="157">
        <v>3</v>
      </c>
    </row>
    <row r="273" ht="18.6" customHeight="1" spans="1:2">
      <c r="A273" s="149" t="s">
        <v>1039</v>
      </c>
      <c r="B273" s="157">
        <v>1</v>
      </c>
    </row>
    <row r="274" ht="18.6" customHeight="1" spans="1:2">
      <c r="A274" s="149" t="s">
        <v>1040</v>
      </c>
      <c r="B274" s="157">
        <v>13</v>
      </c>
    </row>
    <row r="275" ht="18.6" customHeight="1" spans="1:2">
      <c r="A275" s="149" t="s">
        <v>1041</v>
      </c>
      <c r="B275" s="157">
        <v>100</v>
      </c>
    </row>
    <row r="276" ht="18.6" customHeight="1" spans="1:2">
      <c r="A276" s="149" t="s">
        <v>1042</v>
      </c>
      <c r="B276" s="157">
        <v>10</v>
      </c>
    </row>
    <row r="277" ht="18.6" customHeight="1" spans="1:2">
      <c r="A277" s="149" t="s">
        <v>1038</v>
      </c>
      <c r="B277" s="157">
        <v>19</v>
      </c>
    </row>
    <row r="278" ht="18.6" customHeight="1" spans="1:2">
      <c r="A278" s="149" t="s">
        <v>1039</v>
      </c>
      <c r="B278" s="157">
        <v>170</v>
      </c>
    </row>
    <row r="279" ht="18.6" customHeight="1" spans="1:2">
      <c r="A279" s="149" t="s">
        <v>1043</v>
      </c>
      <c r="B279" s="157">
        <v>34</v>
      </c>
    </row>
    <row r="280" ht="18.6" customHeight="1" spans="1:2">
      <c r="A280" s="149" t="s">
        <v>1044</v>
      </c>
      <c r="B280" s="157">
        <v>64</v>
      </c>
    </row>
    <row r="281" ht="18.6" customHeight="1" spans="1:2">
      <c r="A281" s="149" t="s">
        <v>1044</v>
      </c>
      <c r="B281" s="157">
        <v>5</v>
      </c>
    </row>
    <row r="282" ht="18.6" customHeight="1" spans="1:2">
      <c r="A282" s="149" t="s">
        <v>1045</v>
      </c>
      <c r="B282" s="157">
        <v>4</v>
      </c>
    </row>
    <row r="283" ht="18.6" customHeight="1" spans="1:2">
      <c r="A283" s="149" t="s">
        <v>1043</v>
      </c>
      <c r="B283" s="157">
        <v>85</v>
      </c>
    </row>
    <row r="284" ht="18.6" customHeight="1" spans="1:2">
      <c r="A284" s="149" t="s">
        <v>1046</v>
      </c>
      <c r="B284" s="157">
        <v>10</v>
      </c>
    </row>
    <row r="285" ht="18.6" customHeight="1" spans="1:2">
      <c r="A285" s="149" t="s">
        <v>1047</v>
      </c>
      <c r="B285" s="157">
        <v>4</v>
      </c>
    </row>
    <row r="286" ht="18.6" customHeight="1" spans="1:2">
      <c r="A286" s="149" t="s">
        <v>1048</v>
      </c>
      <c r="B286" s="157">
        <v>5</v>
      </c>
    </row>
    <row r="287" ht="18.6" customHeight="1" spans="1:2">
      <c r="A287" s="149" t="s">
        <v>1045</v>
      </c>
      <c r="B287" s="157">
        <v>8</v>
      </c>
    </row>
    <row r="288" ht="18.6" customHeight="1" spans="1:2">
      <c r="A288" s="149" t="s">
        <v>1044</v>
      </c>
      <c r="B288" s="157">
        <v>9</v>
      </c>
    </row>
    <row r="289" ht="18.6" customHeight="1" spans="1:2">
      <c r="A289" s="149" t="s">
        <v>1049</v>
      </c>
      <c r="B289" s="157">
        <v>100</v>
      </c>
    </row>
    <row r="290" ht="18.6" customHeight="1" spans="1:2">
      <c r="A290" s="149" t="s">
        <v>1050</v>
      </c>
      <c r="B290" s="157">
        <v>100</v>
      </c>
    </row>
    <row r="291" ht="18.6" customHeight="1" spans="1:2">
      <c r="A291" s="149" t="s">
        <v>1051</v>
      </c>
      <c r="B291" s="157">
        <v>15</v>
      </c>
    </row>
    <row r="292" ht="18.6" customHeight="1" spans="1:2">
      <c r="A292" s="149" t="s">
        <v>1052</v>
      </c>
      <c r="B292" s="157">
        <v>300</v>
      </c>
    </row>
    <row r="293" ht="18.6" customHeight="1" spans="1:2">
      <c r="A293" s="149" t="s">
        <v>1053</v>
      </c>
      <c r="B293" s="157">
        <v>12</v>
      </c>
    </row>
    <row r="294" ht="18.6" customHeight="1" spans="1:2">
      <c r="A294" s="149" t="s">
        <v>1054</v>
      </c>
      <c r="B294" s="157">
        <v>58</v>
      </c>
    </row>
    <row r="295" ht="18.6" customHeight="1" spans="1:2">
      <c r="A295" s="149" t="s">
        <v>1055</v>
      </c>
      <c r="B295" s="157">
        <v>356</v>
      </c>
    </row>
    <row r="296" ht="18.6" customHeight="1" spans="1:2">
      <c r="A296" s="149" t="s">
        <v>1056</v>
      </c>
      <c r="B296" s="157">
        <v>142</v>
      </c>
    </row>
    <row r="297" ht="18.6" customHeight="1" spans="1:2">
      <c r="A297" s="149" t="s">
        <v>1057</v>
      </c>
      <c r="B297" s="157">
        <v>11</v>
      </c>
    </row>
    <row r="298" ht="18.6" customHeight="1" spans="1:2">
      <c r="A298" s="149" t="s">
        <v>1058</v>
      </c>
      <c r="B298" s="157">
        <v>-210</v>
      </c>
    </row>
    <row r="299" ht="18.6" customHeight="1" spans="1:2">
      <c r="A299" s="149" t="s">
        <v>1059</v>
      </c>
      <c r="B299" s="157">
        <v>120</v>
      </c>
    </row>
    <row r="300" ht="18.6" customHeight="1" spans="1:2">
      <c r="A300" s="149" t="s">
        <v>1060</v>
      </c>
      <c r="B300" s="157">
        <v>48</v>
      </c>
    </row>
    <row r="301" ht="18.6" customHeight="1" spans="1:2">
      <c r="A301" s="149" t="s">
        <v>1057</v>
      </c>
      <c r="B301" s="157">
        <v>4</v>
      </c>
    </row>
    <row r="302" ht="18.6" customHeight="1" spans="1:2">
      <c r="A302" s="149" t="s">
        <v>1061</v>
      </c>
      <c r="B302" s="157">
        <v>114</v>
      </c>
    </row>
    <row r="303" ht="18.6" customHeight="1" spans="1:2">
      <c r="A303" s="149" t="s">
        <v>1062</v>
      </c>
      <c r="B303" s="157">
        <v>386</v>
      </c>
    </row>
    <row r="304" ht="18.6" customHeight="1" spans="1:2">
      <c r="A304" s="149" t="s">
        <v>1014</v>
      </c>
      <c r="B304" s="157">
        <v>71</v>
      </c>
    </row>
    <row r="305" ht="18.6" customHeight="1" spans="1:2">
      <c r="A305" s="149" t="s">
        <v>1063</v>
      </c>
      <c r="B305" s="157">
        <v>-171</v>
      </c>
    </row>
    <row r="306" ht="18.6" customHeight="1" spans="1:2">
      <c r="A306" s="149" t="s">
        <v>1064</v>
      </c>
      <c r="B306" s="157">
        <v>-33</v>
      </c>
    </row>
    <row r="307" ht="18.6" customHeight="1" spans="1:2">
      <c r="A307" s="149" t="s">
        <v>1065</v>
      </c>
      <c r="B307" s="157">
        <v>89</v>
      </c>
    </row>
    <row r="308" ht="18.6" customHeight="1" spans="1:2">
      <c r="A308" s="149" t="s">
        <v>1066</v>
      </c>
      <c r="B308" s="157">
        <v>65</v>
      </c>
    </row>
    <row r="309" ht="18.6" customHeight="1" spans="1:2">
      <c r="A309" s="149" t="s">
        <v>1067</v>
      </c>
      <c r="B309" s="157">
        <v>29</v>
      </c>
    </row>
    <row r="310" ht="18.6" customHeight="1" spans="1:5">
      <c r="A310" s="149" t="s">
        <v>1068</v>
      </c>
      <c r="B310" s="157">
        <v>11</v>
      </c>
      <c r="D310" s="160"/>
      <c r="E310" s="160"/>
    </row>
    <row r="311" ht="18.6" customHeight="1" spans="1:5">
      <c r="A311" s="159" t="s">
        <v>1069</v>
      </c>
      <c r="B311" s="157">
        <v>1811</v>
      </c>
      <c r="D311" s="160"/>
      <c r="E311" s="160"/>
    </row>
    <row r="312" ht="18.6" customHeight="1" spans="1:5">
      <c r="A312" s="149" t="s">
        <v>1070</v>
      </c>
      <c r="B312" s="157">
        <v>45</v>
      </c>
      <c r="D312" s="160"/>
      <c r="E312" s="160"/>
    </row>
    <row r="313" ht="18.6" customHeight="1" spans="1:2">
      <c r="A313" s="149" t="s">
        <v>1071</v>
      </c>
      <c r="B313" s="157">
        <v>919</v>
      </c>
    </row>
    <row r="314" ht="18.6" customHeight="1" spans="1:3">
      <c r="A314" s="149" t="s">
        <v>1070</v>
      </c>
      <c r="B314" s="157">
        <v>13</v>
      </c>
      <c r="C314" s="151"/>
    </row>
    <row r="315" ht="18.6" customHeight="1" spans="1:3">
      <c r="A315" s="149" t="s">
        <v>1072</v>
      </c>
      <c r="B315" s="157">
        <v>100</v>
      </c>
      <c r="C315" s="151"/>
    </row>
    <row r="316" ht="18.6" customHeight="1" spans="1:3">
      <c r="A316" s="149" t="s">
        <v>1073</v>
      </c>
      <c r="B316" s="157">
        <v>153</v>
      </c>
      <c r="C316" s="151"/>
    </row>
    <row r="317" ht="18.6" customHeight="1" spans="1:3">
      <c r="A317" s="149" t="s">
        <v>1074</v>
      </c>
      <c r="B317" s="157">
        <v>581</v>
      </c>
      <c r="C317" s="151"/>
    </row>
    <row r="318" ht="18.6" customHeight="1" spans="1:3">
      <c r="A318" s="149" t="s">
        <v>1075</v>
      </c>
      <c r="B318" s="157">
        <v>2509</v>
      </c>
      <c r="C318" s="151"/>
    </row>
    <row r="319" ht="18.6" customHeight="1" spans="1:3">
      <c r="A319" s="149" t="s">
        <v>1076</v>
      </c>
      <c r="B319" s="157">
        <v>395</v>
      </c>
      <c r="C319" s="151"/>
    </row>
    <row r="320" ht="18.6" customHeight="1" spans="1:3">
      <c r="A320" s="149" t="s">
        <v>1077</v>
      </c>
      <c r="B320" s="157">
        <v>1500</v>
      </c>
      <c r="C320" s="151"/>
    </row>
    <row r="321" ht="18.6" customHeight="1" spans="1:3">
      <c r="A321" s="149" t="s">
        <v>1078</v>
      </c>
      <c r="B321" s="157">
        <v>11</v>
      </c>
      <c r="C321" s="151"/>
    </row>
    <row r="322" ht="18.6" customHeight="1" spans="1:3">
      <c r="A322" s="149" t="s">
        <v>1079</v>
      </c>
      <c r="B322" s="157">
        <v>18</v>
      </c>
      <c r="C322" s="151"/>
    </row>
    <row r="323" ht="18.6" customHeight="1" spans="1:3">
      <c r="A323" s="149" t="s">
        <v>1080</v>
      </c>
      <c r="B323" s="157">
        <v>300</v>
      </c>
      <c r="C323" s="151"/>
    </row>
    <row r="324" ht="18.6" customHeight="1" spans="1:3">
      <c r="A324" s="149" t="s">
        <v>1081</v>
      </c>
      <c r="B324" s="157">
        <v>5</v>
      </c>
      <c r="C324" s="151"/>
    </row>
    <row r="325" ht="18.6" customHeight="1" spans="1:3">
      <c r="A325" s="149" t="s">
        <v>1082</v>
      </c>
      <c r="B325" s="157">
        <v>75</v>
      </c>
      <c r="C325" s="151"/>
    </row>
    <row r="326" ht="18.6" customHeight="1" spans="1:3">
      <c r="A326" s="149" t="s">
        <v>1083</v>
      </c>
      <c r="B326" s="157">
        <v>40</v>
      </c>
      <c r="C326" s="151"/>
    </row>
    <row r="327" ht="18.6" customHeight="1" spans="1:3">
      <c r="A327" s="149" t="s">
        <v>1084</v>
      </c>
      <c r="B327" s="157">
        <v>17</v>
      </c>
      <c r="C327" s="151"/>
    </row>
    <row r="328" ht="18.6" customHeight="1" spans="1:3">
      <c r="A328" s="149" t="s">
        <v>1085</v>
      </c>
      <c r="B328" s="157">
        <v>30</v>
      </c>
      <c r="C328" s="151"/>
    </row>
    <row r="329" ht="18.6" customHeight="1" spans="1:3">
      <c r="A329" s="149" t="s">
        <v>1086</v>
      </c>
      <c r="B329" s="157">
        <v>3</v>
      </c>
      <c r="C329" s="151"/>
    </row>
    <row r="330" ht="18.6" customHeight="1" spans="1:3">
      <c r="A330" s="149" t="s">
        <v>1087</v>
      </c>
      <c r="B330" s="157">
        <v>115</v>
      </c>
      <c r="C330" s="151"/>
    </row>
    <row r="331" ht="18.6" customHeight="1" spans="1:3">
      <c r="A331" s="159" t="s">
        <v>1088</v>
      </c>
      <c r="B331" s="157">
        <v>628</v>
      </c>
      <c r="C331" s="151"/>
    </row>
    <row r="332" ht="18.6" customHeight="1" spans="1:3">
      <c r="A332" s="149" t="s">
        <v>1089</v>
      </c>
      <c r="B332" s="157">
        <v>341</v>
      </c>
      <c r="C332" s="151"/>
    </row>
    <row r="333" ht="18.6" customHeight="1" spans="1:2">
      <c r="A333" s="149" t="s">
        <v>1090</v>
      </c>
      <c r="B333" s="157">
        <v>38</v>
      </c>
    </row>
    <row r="334" ht="18.6" customHeight="1" spans="1:2">
      <c r="A334" s="149" t="s">
        <v>1091</v>
      </c>
      <c r="B334" s="157">
        <v>29</v>
      </c>
    </row>
    <row r="335" ht="18.6" customHeight="1" spans="1:2">
      <c r="A335" s="149" t="s">
        <v>1092</v>
      </c>
      <c r="B335" s="157">
        <v>220</v>
      </c>
    </row>
    <row r="336" ht="18.6" customHeight="1" spans="1:2">
      <c r="A336" s="159" t="s">
        <v>1093</v>
      </c>
      <c r="B336" s="157">
        <v>160</v>
      </c>
    </row>
    <row r="337" ht="18.6" customHeight="1" spans="1:2">
      <c r="A337" s="149" t="s">
        <v>1094</v>
      </c>
      <c r="B337" s="157">
        <v>160</v>
      </c>
    </row>
    <row r="338" ht="18.6" customHeight="1" spans="1:2">
      <c r="A338" s="159" t="s">
        <v>1095</v>
      </c>
      <c r="B338" s="157">
        <v>12953</v>
      </c>
    </row>
    <row r="339" ht="18.6" customHeight="1" spans="1:2">
      <c r="A339" s="149" t="s">
        <v>1096</v>
      </c>
      <c r="B339" s="157">
        <v>158</v>
      </c>
    </row>
    <row r="340" ht="18.6" customHeight="1" spans="1:2">
      <c r="A340" s="149" t="s">
        <v>1097</v>
      </c>
      <c r="B340" s="157">
        <v>246</v>
      </c>
    </row>
    <row r="341" ht="18.6" customHeight="1" spans="1:2">
      <c r="A341" s="149" t="s">
        <v>1098</v>
      </c>
      <c r="B341" s="157">
        <v>254</v>
      </c>
    </row>
    <row r="342" ht="18.6" customHeight="1" spans="1:2">
      <c r="A342" s="149" t="s">
        <v>1099</v>
      </c>
      <c r="B342" s="157">
        <v>101</v>
      </c>
    </row>
    <row r="343" ht="18.6" customHeight="1" spans="1:2">
      <c r="A343" s="149" t="s">
        <v>1100</v>
      </c>
      <c r="B343" s="157">
        <v>360</v>
      </c>
    </row>
    <row r="344" ht="18.6" customHeight="1" spans="1:2">
      <c r="A344" s="149" t="s">
        <v>1101</v>
      </c>
      <c r="B344" s="157">
        <v>16</v>
      </c>
    </row>
    <row r="345" ht="18.6" customHeight="1" spans="1:2">
      <c r="A345" s="149" t="s">
        <v>1102</v>
      </c>
      <c r="B345" s="157">
        <v>17</v>
      </c>
    </row>
    <row r="346" ht="18.6" customHeight="1" spans="1:2">
      <c r="A346" s="149" t="s">
        <v>1103</v>
      </c>
      <c r="B346" s="157">
        <v>17</v>
      </c>
    </row>
    <row r="347" ht="18.6" customHeight="1" spans="1:2">
      <c r="A347" s="149" t="s">
        <v>1104</v>
      </c>
      <c r="B347" s="157">
        <v>1278</v>
      </c>
    </row>
    <row r="348" ht="18.6" customHeight="1" spans="1:2">
      <c r="A348" s="149" t="s">
        <v>1105</v>
      </c>
      <c r="B348" s="157">
        <v>7083</v>
      </c>
    </row>
    <row r="349" ht="18.6" customHeight="1" spans="1:2">
      <c r="A349" s="149" t="s">
        <v>1105</v>
      </c>
      <c r="B349" s="157">
        <v>3423</v>
      </c>
    </row>
    <row r="350" ht="18.6" customHeight="1" spans="1:2">
      <c r="A350" s="159" t="s">
        <v>1106</v>
      </c>
      <c r="B350" s="157">
        <v>10526</v>
      </c>
    </row>
    <row r="351" ht="18.6" customHeight="1" spans="1:2">
      <c r="A351" s="149" t="s">
        <v>1107</v>
      </c>
      <c r="B351" s="157">
        <v>41</v>
      </c>
    </row>
    <row r="352" ht="18.6" customHeight="1" spans="1:2">
      <c r="A352" s="149" t="s">
        <v>1108</v>
      </c>
      <c r="B352" s="157">
        <v>183</v>
      </c>
    </row>
    <row r="353" ht="18.6" customHeight="1" spans="1:2">
      <c r="A353" s="149" t="s">
        <v>1109</v>
      </c>
      <c r="B353" s="157">
        <v>34</v>
      </c>
    </row>
    <row r="354" ht="18.6" customHeight="1" spans="1:2">
      <c r="A354" s="149" t="s">
        <v>1110</v>
      </c>
      <c r="B354" s="157">
        <v>68</v>
      </c>
    </row>
    <row r="355" ht="18.6" customHeight="1" spans="1:2">
      <c r="A355" s="149" t="s">
        <v>1111</v>
      </c>
      <c r="B355" s="157">
        <v>240</v>
      </c>
    </row>
    <row r="356" ht="18.6" customHeight="1" spans="1:2">
      <c r="A356" s="149" t="s">
        <v>1112</v>
      </c>
      <c r="B356" s="157">
        <v>3224</v>
      </c>
    </row>
    <row r="357" ht="18.6" customHeight="1" spans="1:2">
      <c r="A357" s="149" t="s">
        <v>1113</v>
      </c>
      <c r="B357" s="157">
        <v>1700</v>
      </c>
    </row>
    <row r="358" ht="18.6" customHeight="1" spans="1:2">
      <c r="A358" s="149" t="s">
        <v>1114</v>
      </c>
      <c r="B358" s="157">
        <v>3550</v>
      </c>
    </row>
    <row r="359" ht="18.6" customHeight="1" spans="1:2">
      <c r="A359" s="149" t="s">
        <v>1115</v>
      </c>
      <c r="B359" s="157">
        <v>944</v>
      </c>
    </row>
    <row r="360" ht="18.6" customHeight="1" spans="1:2">
      <c r="A360" s="149" t="s">
        <v>1116</v>
      </c>
      <c r="B360" s="157">
        <v>542</v>
      </c>
    </row>
    <row r="361" ht="18.6" customHeight="1" spans="1:2">
      <c r="A361" s="159" t="s">
        <v>1117</v>
      </c>
      <c r="B361" s="157">
        <v>-7298</v>
      </c>
    </row>
    <row r="362" ht="18.6" customHeight="1" spans="1:2">
      <c r="A362" s="149" t="s">
        <v>1118</v>
      </c>
      <c r="B362" s="157">
        <v>200</v>
      </c>
    </row>
    <row r="363" ht="18.6" customHeight="1" spans="1:2">
      <c r="A363" s="149" t="s">
        <v>1119</v>
      </c>
      <c r="B363" s="157">
        <v>-3554</v>
      </c>
    </row>
    <row r="364" ht="18.6" customHeight="1" spans="1:2">
      <c r="A364" s="149" t="s">
        <v>1119</v>
      </c>
      <c r="B364" s="157">
        <v>-4000</v>
      </c>
    </row>
    <row r="365" ht="18.6" customHeight="1" spans="1:2">
      <c r="A365" s="149" t="s">
        <v>1120</v>
      </c>
      <c r="B365" s="157">
        <v>6</v>
      </c>
    </row>
    <row r="366" ht="18.6" customHeight="1" spans="1:2">
      <c r="A366" s="149" t="s">
        <v>1121</v>
      </c>
      <c r="B366" s="157">
        <v>50</v>
      </c>
    </row>
    <row r="367" ht="18.6" customHeight="1" spans="1:2">
      <c r="A367" s="146" t="s">
        <v>1122</v>
      </c>
      <c r="B367" s="157">
        <f>SUM(B4:B366)/2</f>
        <v>50903</v>
      </c>
    </row>
    <row r="368" ht="18.6" customHeight="1" spans="1:2">
      <c r="A368" s="156" t="s">
        <v>92</v>
      </c>
      <c r="B368" s="157">
        <v>175</v>
      </c>
    </row>
    <row r="369" ht="18.6" customHeight="1" spans="1:2">
      <c r="A369" s="149" t="s">
        <v>1123</v>
      </c>
      <c r="B369" s="157">
        <v>60</v>
      </c>
    </row>
    <row r="370" ht="18.6" customHeight="1" spans="1:2">
      <c r="A370" s="149" t="s">
        <v>1124</v>
      </c>
      <c r="B370" s="157">
        <v>36</v>
      </c>
    </row>
    <row r="371" ht="18.6" customHeight="1" spans="1:2">
      <c r="A371" s="149" t="s">
        <v>1125</v>
      </c>
      <c r="B371" s="157">
        <v>79</v>
      </c>
    </row>
    <row r="372" ht="18.6" customHeight="1" spans="1:2">
      <c r="A372" s="159" t="s">
        <v>93</v>
      </c>
      <c r="B372" s="157">
        <v>378</v>
      </c>
    </row>
    <row r="373" ht="18.6" customHeight="1" spans="1:2">
      <c r="A373" s="149" t="s">
        <v>1126</v>
      </c>
      <c r="B373" s="157">
        <v>213</v>
      </c>
    </row>
    <row r="374" ht="18.6" customHeight="1" spans="1:2">
      <c r="A374" s="149" t="s">
        <v>1127</v>
      </c>
      <c r="B374" s="157">
        <v>125</v>
      </c>
    </row>
    <row r="375" ht="18.6" customHeight="1" spans="1:2">
      <c r="A375" s="149" t="s">
        <v>1044</v>
      </c>
      <c r="B375" s="157">
        <v>40</v>
      </c>
    </row>
    <row r="376" ht="18.6" customHeight="1" spans="1:2">
      <c r="A376" s="159" t="s">
        <v>1128</v>
      </c>
      <c r="B376" s="157">
        <v>24</v>
      </c>
    </row>
    <row r="377" ht="18.6" customHeight="1" spans="1:2">
      <c r="A377" s="149" t="s">
        <v>1129</v>
      </c>
      <c r="B377" s="157">
        <v>24</v>
      </c>
    </row>
    <row r="378" ht="18.6" customHeight="1" spans="1:2">
      <c r="A378" s="159" t="s">
        <v>1130</v>
      </c>
      <c r="B378" s="157">
        <v>1158</v>
      </c>
    </row>
    <row r="379" ht="18.6" customHeight="1" spans="1:6">
      <c r="A379" s="149" t="s">
        <v>1131</v>
      </c>
      <c r="B379" s="157">
        <v>719</v>
      </c>
      <c r="D379" s="161"/>
      <c r="E379" s="161"/>
      <c r="F379" s="161"/>
    </row>
    <row r="380" ht="18.6" customHeight="1" spans="1:6">
      <c r="A380" s="149" t="s">
        <v>1132</v>
      </c>
      <c r="B380" s="157">
        <v>15</v>
      </c>
      <c r="D380" s="161"/>
      <c r="E380" s="160"/>
      <c r="F380" s="161"/>
    </row>
    <row r="381" ht="18.6" customHeight="1" spans="1:6">
      <c r="A381" s="149" t="s">
        <v>1133</v>
      </c>
      <c r="B381" s="157">
        <v>16</v>
      </c>
      <c r="D381" s="161"/>
      <c r="E381" s="160"/>
      <c r="F381" s="161"/>
    </row>
    <row r="382" ht="18.6" customHeight="1" spans="1:6">
      <c r="A382" s="149" t="s">
        <v>1134</v>
      </c>
      <c r="B382" s="157">
        <v>103</v>
      </c>
      <c r="D382" s="161"/>
      <c r="E382" s="160"/>
      <c r="F382" s="161"/>
    </row>
    <row r="383" ht="18.6" customHeight="1" spans="1:6">
      <c r="A383" s="149" t="s">
        <v>1135</v>
      </c>
      <c r="B383" s="157">
        <v>4</v>
      </c>
      <c r="D383" s="161"/>
      <c r="E383" s="160"/>
      <c r="F383" s="161"/>
    </row>
    <row r="384" ht="18.6" customHeight="1" spans="1:6">
      <c r="A384" s="149" t="s">
        <v>1136</v>
      </c>
      <c r="B384" s="157">
        <v>30</v>
      </c>
      <c r="D384" s="161"/>
      <c r="E384" s="160"/>
      <c r="F384" s="161"/>
    </row>
    <row r="385" ht="18.6" customHeight="1" spans="1:6">
      <c r="A385" s="149" t="s">
        <v>1137</v>
      </c>
      <c r="B385" s="157">
        <v>1</v>
      </c>
      <c r="D385" s="161"/>
      <c r="E385" s="160"/>
      <c r="F385" s="161"/>
    </row>
    <row r="386" ht="18.6" customHeight="1" spans="1:6">
      <c r="A386" s="149" t="s">
        <v>1138</v>
      </c>
      <c r="B386" s="157">
        <v>-6</v>
      </c>
      <c r="D386" s="161"/>
      <c r="E386" s="160"/>
      <c r="F386" s="161"/>
    </row>
    <row r="387" ht="18.6" customHeight="1" spans="1:6">
      <c r="A387" s="149" t="s">
        <v>1139</v>
      </c>
      <c r="B387" s="157">
        <v>2</v>
      </c>
      <c r="D387" s="161"/>
      <c r="E387" s="160"/>
      <c r="F387" s="161"/>
    </row>
    <row r="388" ht="18.6" customHeight="1" spans="1:6">
      <c r="A388" s="149" t="s">
        <v>1139</v>
      </c>
      <c r="B388" s="157">
        <v>38</v>
      </c>
      <c r="D388" s="161"/>
      <c r="E388" s="160"/>
      <c r="F388" s="161"/>
    </row>
    <row r="389" ht="18.6" customHeight="1" spans="1:6">
      <c r="A389" s="149" t="s">
        <v>1140</v>
      </c>
      <c r="B389" s="157">
        <v>2</v>
      </c>
      <c r="D389" s="161"/>
      <c r="E389" s="160"/>
      <c r="F389" s="161"/>
    </row>
    <row r="390" ht="18.6" customHeight="1" spans="1:6">
      <c r="A390" s="149" t="s">
        <v>1141</v>
      </c>
      <c r="B390" s="157">
        <v>10</v>
      </c>
      <c r="D390" s="161"/>
      <c r="E390" s="160"/>
      <c r="F390" s="161"/>
    </row>
    <row r="391" ht="18.6" customHeight="1" spans="1:6">
      <c r="A391" s="149" t="s">
        <v>1134</v>
      </c>
      <c r="B391" s="157">
        <v>69</v>
      </c>
      <c r="D391" s="161"/>
      <c r="E391" s="160"/>
      <c r="F391" s="161"/>
    </row>
    <row r="392" ht="18.6" customHeight="1" spans="1:6">
      <c r="A392" s="149" t="s">
        <v>1142</v>
      </c>
      <c r="B392" s="157">
        <v>1</v>
      </c>
      <c r="D392" s="161"/>
      <c r="E392" s="160"/>
      <c r="F392" s="161"/>
    </row>
    <row r="393" ht="18.6" customHeight="1" spans="1:6">
      <c r="A393" s="149" t="s">
        <v>1136</v>
      </c>
      <c r="B393" s="157">
        <v>18</v>
      </c>
      <c r="D393" s="161"/>
      <c r="E393" s="160"/>
      <c r="F393" s="161"/>
    </row>
    <row r="394" ht="18.6" customHeight="1" spans="1:6">
      <c r="A394" s="149" t="s">
        <v>1143</v>
      </c>
      <c r="B394" s="157">
        <v>41</v>
      </c>
      <c r="D394" s="161"/>
      <c r="E394" s="160"/>
      <c r="F394" s="161"/>
    </row>
    <row r="395" ht="18.6" customHeight="1" spans="1:6">
      <c r="A395" s="149" t="s">
        <v>1144</v>
      </c>
      <c r="B395" s="157">
        <v>2</v>
      </c>
      <c r="D395" s="161"/>
      <c r="E395" s="160"/>
      <c r="F395" s="161"/>
    </row>
    <row r="396" ht="18.6" customHeight="1" spans="1:6">
      <c r="A396" s="149" t="s">
        <v>1145</v>
      </c>
      <c r="B396" s="157">
        <v>1</v>
      </c>
      <c r="D396" s="161"/>
      <c r="E396" s="160"/>
      <c r="F396" s="161"/>
    </row>
    <row r="397" ht="18.6" customHeight="1" spans="1:6">
      <c r="A397" s="149" t="s">
        <v>1146</v>
      </c>
      <c r="B397" s="157">
        <v>39</v>
      </c>
      <c r="D397" s="161"/>
      <c r="E397" s="160"/>
      <c r="F397" s="161"/>
    </row>
    <row r="398" ht="18.6" customHeight="1" spans="1:6">
      <c r="A398" s="149" t="s">
        <v>1147</v>
      </c>
      <c r="B398" s="157">
        <v>53</v>
      </c>
      <c r="D398" s="161"/>
      <c r="E398" s="160"/>
      <c r="F398" s="161"/>
    </row>
    <row r="399" ht="18.6" customHeight="1" spans="1:6">
      <c r="A399" s="162" t="s">
        <v>1148</v>
      </c>
      <c r="B399" s="157">
        <v>1735</v>
      </c>
      <c r="D399" s="160"/>
      <c r="E399" s="160"/>
      <c r="F399" s="160"/>
    </row>
    <row r="400" customHeight="1" spans="1:6">
      <c r="A400" s="163"/>
      <c r="C400" s="153"/>
      <c r="D400" s="160"/>
      <c r="E400" s="160"/>
      <c r="F400" s="160"/>
    </row>
    <row r="401" customHeight="1" spans="1:3">
      <c r="A401" s="163"/>
      <c r="C401" s="153"/>
    </row>
    <row r="402" customHeight="1" spans="1:3">
      <c r="A402" s="163"/>
      <c r="C402" s="153"/>
    </row>
    <row r="403" customHeight="1" spans="1:3">
      <c r="A403" s="163"/>
      <c r="C403" s="153"/>
    </row>
    <row r="404" customHeight="1" spans="1:3">
      <c r="A404" s="163"/>
      <c r="C404" s="153"/>
    </row>
    <row r="405" customHeight="1" spans="1:3">
      <c r="A405" s="163"/>
      <c r="C405" s="153"/>
    </row>
    <row r="406" customHeight="1" spans="1:3">
      <c r="A406" s="163"/>
      <c r="C406" s="153"/>
    </row>
    <row r="407" customHeight="1" spans="1:3">
      <c r="A407" s="163"/>
      <c r="C407" s="153"/>
    </row>
    <row r="408" customHeight="1" spans="1:3">
      <c r="A408" s="163"/>
      <c r="C408" s="153"/>
    </row>
    <row r="409" customHeight="1" spans="1:3">
      <c r="A409" s="163"/>
      <c r="C409" s="153"/>
    </row>
    <row r="410" customHeight="1" spans="3:3">
      <c r="C410" s="153"/>
    </row>
    <row r="411" customHeight="1" spans="3:3">
      <c r="C411" s="153"/>
    </row>
    <row r="412" customHeight="1" spans="3:3">
      <c r="C412" s="153"/>
    </row>
    <row r="413" customHeight="1" spans="3:3">
      <c r="C413" s="153"/>
    </row>
    <row r="414" customHeight="1" spans="3:3">
      <c r="C414" s="153"/>
    </row>
    <row r="415" customHeight="1" spans="3:3">
      <c r="C415" s="153"/>
    </row>
    <row r="416" customHeight="1" spans="3:3">
      <c r="C416" s="153"/>
    </row>
    <row r="417" customHeight="1" spans="3:3">
      <c r="C417" s="153"/>
    </row>
    <row r="418" customHeight="1" spans="3:3">
      <c r="C418" s="153"/>
    </row>
    <row r="419" customHeight="1" spans="3:3">
      <c r="C419" s="153"/>
    </row>
    <row r="420" customHeight="1" spans="3:3">
      <c r="C420" s="153"/>
    </row>
    <row r="421" customHeight="1" spans="3:3">
      <c r="C421" s="153"/>
    </row>
    <row r="422" customHeight="1" spans="3:3">
      <c r="C422" s="153"/>
    </row>
    <row r="423" customHeight="1" spans="3:3">
      <c r="C423" s="153"/>
    </row>
    <row r="424" customHeight="1" spans="3:3">
      <c r="C424" s="153"/>
    </row>
    <row r="425" customHeight="1" spans="3:3">
      <c r="C425" s="153"/>
    </row>
    <row r="426" customHeight="1" spans="3:3">
      <c r="C426" s="153"/>
    </row>
    <row r="427" customHeight="1" spans="3:3">
      <c r="C427" s="153"/>
    </row>
    <row r="428" customHeight="1" spans="3:3">
      <c r="C428" s="153"/>
    </row>
    <row r="429" customHeight="1" spans="3:3">
      <c r="C429" s="153"/>
    </row>
    <row r="430" customHeight="1" spans="3:3">
      <c r="C430" s="153"/>
    </row>
    <row r="431" customHeight="1" spans="3:3">
      <c r="C431" s="153"/>
    </row>
    <row r="432" customHeight="1" spans="3:3">
      <c r="C432" s="153"/>
    </row>
    <row r="433" customHeight="1" spans="3:3">
      <c r="C433" s="153"/>
    </row>
    <row r="434" customHeight="1" spans="3:3">
      <c r="C434" s="153"/>
    </row>
    <row r="435" customHeight="1" spans="3:3">
      <c r="C435" s="153"/>
    </row>
    <row r="436" customHeight="1" spans="3:3">
      <c r="C436" s="153"/>
    </row>
    <row r="437" customHeight="1" spans="3:3">
      <c r="C437" s="153"/>
    </row>
    <row r="438" customHeight="1" spans="3:3">
      <c r="C438" s="153"/>
    </row>
    <row r="439" customHeight="1" spans="3:3">
      <c r="C439" s="153"/>
    </row>
    <row r="440" customHeight="1" spans="3:3">
      <c r="C440" s="153"/>
    </row>
    <row r="441" customHeight="1" spans="3:3">
      <c r="C441" s="153"/>
    </row>
    <row r="442" customHeight="1" spans="3:3">
      <c r="C442" s="153"/>
    </row>
    <row r="443" customHeight="1" spans="3:3">
      <c r="C443" s="153"/>
    </row>
    <row r="444" customHeight="1" spans="3:3">
      <c r="C444" s="153"/>
    </row>
    <row r="445" customHeight="1" spans="3:3">
      <c r="C445" s="153"/>
    </row>
    <row r="446" customHeight="1" spans="3:3">
      <c r="C446" s="153"/>
    </row>
    <row r="447" customHeight="1" spans="3:3">
      <c r="C447" s="153"/>
    </row>
    <row r="448" customHeight="1" spans="3:3">
      <c r="C448" s="153"/>
    </row>
    <row r="449" customHeight="1" spans="3:3">
      <c r="C449" s="153"/>
    </row>
    <row r="450" customHeight="1" spans="3:3">
      <c r="C450" s="153"/>
    </row>
    <row r="451" customHeight="1" spans="3:3">
      <c r="C451" s="153"/>
    </row>
    <row r="452" customHeight="1" spans="3:3">
      <c r="C452" s="153"/>
    </row>
    <row r="453" customHeight="1" spans="3:3">
      <c r="C453" s="153"/>
    </row>
    <row r="454" customHeight="1" spans="3:3">
      <c r="C454" s="153"/>
    </row>
    <row r="455" customHeight="1" spans="3:3">
      <c r="C455" s="153"/>
    </row>
    <row r="456" customHeight="1" spans="3:3">
      <c r="C456" s="153"/>
    </row>
    <row r="457" customHeight="1" spans="3:3">
      <c r="C457" s="153"/>
    </row>
    <row r="458" customHeight="1" spans="3:3">
      <c r="C458" s="153"/>
    </row>
    <row r="459" customHeight="1" spans="3:3">
      <c r="C459" s="153"/>
    </row>
    <row r="460" customHeight="1" spans="3:3">
      <c r="C460" s="153"/>
    </row>
    <row r="461" customHeight="1" spans="3:3">
      <c r="C461" s="153"/>
    </row>
    <row r="462" customHeight="1" spans="3:3">
      <c r="C462" s="153"/>
    </row>
    <row r="463" customHeight="1" spans="3:3">
      <c r="C463" s="153"/>
    </row>
    <row r="464" customHeight="1" spans="3:3">
      <c r="C464" s="153"/>
    </row>
    <row r="465" customHeight="1" spans="3:3">
      <c r="C465" s="153"/>
    </row>
    <row r="466" customHeight="1" spans="3:3">
      <c r="C466" s="153"/>
    </row>
    <row r="467" customHeight="1" spans="3:3">
      <c r="C467" s="153"/>
    </row>
    <row r="468" customHeight="1" spans="3:3">
      <c r="C468" s="153"/>
    </row>
    <row r="469" customHeight="1" spans="3:3">
      <c r="C469" s="153"/>
    </row>
    <row r="470" customHeight="1" spans="3:3">
      <c r="C470" s="153"/>
    </row>
    <row r="471" customHeight="1" spans="3:3">
      <c r="C471" s="153"/>
    </row>
    <row r="472" customHeight="1" spans="3:3">
      <c r="C472" s="153"/>
    </row>
    <row r="473" customHeight="1" spans="3:3">
      <c r="C473" s="153"/>
    </row>
    <row r="474" customHeight="1" spans="3:3">
      <c r="C474" s="153"/>
    </row>
    <row r="475" customHeight="1" spans="3:3">
      <c r="C475" s="153"/>
    </row>
    <row r="476" customHeight="1" spans="3:3">
      <c r="C476" s="153"/>
    </row>
    <row r="477" customHeight="1" spans="3:3">
      <c r="C477" s="153"/>
    </row>
    <row r="478" customHeight="1" spans="3:3">
      <c r="C478" s="153"/>
    </row>
    <row r="479" customHeight="1" spans="3:3">
      <c r="C479" s="153"/>
    </row>
    <row r="480" customHeight="1" spans="3:3">
      <c r="C480" s="153"/>
    </row>
    <row r="481" customHeight="1" spans="3:3">
      <c r="C481" s="153"/>
    </row>
    <row r="482" customHeight="1" spans="3:3">
      <c r="C482" s="153"/>
    </row>
    <row r="483" customHeight="1" spans="3:3">
      <c r="C483" s="153"/>
    </row>
    <row r="484" customHeight="1" spans="3:3">
      <c r="C484" s="153"/>
    </row>
    <row r="485" customHeight="1" spans="3:3">
      <c r="C485" s="153"/>
    </row>
    <row r="486" customHeight="1" spans="3:3">
      <c r="C486" s="153"/>
    </row>
    <row r="487" customHeight="1" spans="3:3">
      <c r="C487" s="153"/>
    </row>
    <row r="488" customHeight="1" spans="3:3">
      <c r="C488" s="153"/>
    </row>
    <row r="489" customHeight="1" spans="3:3">
      <c r="C489" s="153"/>
    </row>
    <row r="490" customHeight="1" spans="3:3">
      <c r="C490" s="153"/>
    </row>
    <row r="491" customHeight="1" spans="3:3">
      <c r="C491" s="153"/>
    </row>
    <row r="492" customHeight="1" spans="3:3">
      <c r="C492" s="153"/>
    </row>
    <row r="493" customHeight="1" spans="3:3">
      <c r="C493" s="153"/>
    </row>
    <row r="494" customHeight="1" spans="3:3">
      <c r="C494" s="153"/>
    </row>
    <row r="495" customHeight="1" spans="3:3">
      <c r="C495" s="153"/>
    </row>
    <row r="496" customHeight="1" spans="3:3">
      <c r="C496" s="153"/>
    </row>
    <row r="497" customHeight="1" spans="3:3">
      <c r="C497" s="153"/>
    </row>
    <row r="498" customHeight="1" spans="3:3">
      <c r="C498" s="153"/>
    </row>
    <row r="499" customHeight="1" spans="3:3">
      <c r="C499" s="153"/>
    </row>
    <row r="500" customHeight="1" spans="3:3">
      <c r="C500" s="153"/>
    </row>
    <row r="501" customHeight="1" spans="3:3">
      <c r="C501" s="153"/>
    </row>
    <row r="502" customHeight="1" spans="3:3">
      <c r="C502" s="153"/>
    </row>
    <row r="503" customHeight="1" spans="3:3">
      <c r="C503" s="153"/>
    </row>
    <row r="504" customHeight="1" spans="3:3">
      <c r="C504" s="153"/>
    </row>
    <row r="505" customHeight="1" spans="3:3">
      <c r="C505" s="153"/>
    </row>
    <row r="506" customHeight="1" spans="3:3">
      <c r="C506" s="153"/>
    </row>
    <row r="507" customHeight="1" spans="3:3">
      <c r="C507" s="153"/>
    </row>
    <row r="508" customHeight="1" spans="3:3">
      <c r="C508" s="153"/>
    </row>
    <row r="509" customHeight="1" spans="3:3">
      <c r="C509" s="153"/>
    </row>
    <row r="510" customHeight="1" spans="3:3">
      <c r="C510" s="153"/>
    </row>
    <row r="511" customHeight="1" spans="3:3">
      <c r="C511" s="153"/>
    </row>
    <row r="512" customHeight="1" spans="3:3">
      <c r="C512" s="153"/>
    </row>
    <row r="513" customHeight="1" spans="3:3">
      <c r="C513" s="153"/>
    </row>
    <row r="514" customHeight="1" spans="3:3">
      <c r="C514" s="153"/>
    </row>
    <row r="515" customHeight="1" spans="3:3">
      <c r="C515" s="153"/>
    </row>
    <row r="516" customHeight="1" spans="3:3">
      <c r="C516" s="153"/>
    </row>
    <row r="517" customHeight="1" spans="3:3">
      <c r="C517" s="153"/>
    </row>
    <row r="518" customHeight="1" spans="3:3">
      <c r="C518" s="153"/>
    </row>
    <row r="519" customHeight="1" spans="3:3">
      <c r="C519" s="153"/>
    </row>
    <row r="520" customHeight="1" spans="3:3">
      <c r="C520" s="153"/>
    </row>
    <row r="521" customHeight="1" spans="3:3">
      <c r="C521" s="153"/>
    </row>
    <row r="522" customHeight="1" spans="3:3">
      <c r="C522" s="153"/>
    </row>
    <row r="523" customHeight="1" spans="3:3">
      <c r="C523" s="153"/>
    </row>
    <row r="524" customHeight="1" spans="3:3">
      <c r="C524" s="153"/>
    </row>
    <row r="525" customHeight="1" spans="3:3">
      <c r="C525" s="153"/>
    </row>
    <row r="526" customHeight="1" spans="3:3">
      <c r="C526" s="153"/>
    </row>
    <row r="527" customHeight="1" spans="3:3">
      <c r="C527" s="153"/>
    </row>
    <row r="528" customHeight="1" spans="3:3">
      <c r="C528" s="153"/>
    </row>
    <row r="529" customHeight="1" spans="3:3">
      <c r="C529" s="153"/>
    </row>
    <row r="530" customHeight="1" spans="3:3">
      <c r="C530" s="153"/>
    </row>
    <row r="531" customHeight="1" spans="3:3">
      <c r="C531" s="153"/>
    </row>
    <row r="532" customHeight="1" spans="3:3">
      <c r="C532" s="153"/>
    </row>
    <row r="533" customHeight="1" spans="3:3">
      <c r="C533" s="153"/>
    </row>
    <row r="534" customHeight="1" spans="3:3">
      <c r="C534" s="153"/>
    </row>
    <row r="535" customHeight="1" spans="3:3">
      <c r="C535" s="153"/>
    </row>
    <row r="536" customHeight="1" spans="3:3">
      <c r="C536" s="153"/>
    </row>
    <row r="537" customHeight="1" spans="3:3">
      <c r="C537" s="153"/>
    </row>
    <row r="538" customHeight="1" spans="3:3">
      <c r="C538" s="153"/>
    </row>
    <row r="539" customHeight="1" spans="3:3">
      <c r="C539" s="153"/>
    </row>
    <row r="540" customHeight="1" spans="3:3">
      <c r="C540" s="153"/>
    </row>
    <row r="541" customHeight="1" spans="3:3">
      <c r="C541" s="153"/>
    </row>
    <row r="542" customHeight="1" spans="3:3">
      <c r="C542" s="153"/>
    </row>
    <row r="543" customHeight="1" spans="3:3">
      <c r="C543" s="153"/>
    </row>
    <row r="544" customHeight="1" spans="3:3">
      <c r="C544" s="153"/>
    </row>
    <row r="545" customHeight="1" spans="3:3">
      <c r="C545" s="153"/>
    </row>
    <row r="546" customHeight="1" spans="3:3">
      <c r="C546" s="153"/>
    </row>
    <row r="547" customHeight="1" spans="3:3">
      <c r="C547" s="153"/>
    </row>
    <row r="548" customHeight="1" spans="3:3">
      <c r="C548" s="153"/>
    </row>
    <row r="549" customHeight="1" spans="3:3">
      <c r="C549" s="153"/>
    </row>
    <row r="550" customHeight="1" spans="3:3">
      <c r="C550" s="153"/>
    </row>
    <row r="551" customHeight="1" spans="3:3">
      <c r="C551" s="153"/>
    </row>
    <row r="552" customHeight="1" spans="3:3">
      <c r="C552" s="153"/>
    </row>
    <row r="553" customHeight="1" spans="3:3">
      <c r="C553" s="153"/>
    </row>
    <row r="554" customHeight="1" spans="3:3">
      <c r="C554" s="153"/>
    </row>
    <row r="555" customHeight="1" spans="3:3">
      <c r="C555" s="153"/>
    </row>
    <row r="556" customHeight="1" spans="3:3">
      <c r="C556" s="153"/>
    </row>
    <row r="557" customHeight="1" spans="3:3">
      <c r="C557" s="153"/>
    </row>
    <row r="558" customHeight="1" spans="3:3">
      <c r="C558" s="153"/>
    </row>
    <row r="559" customHeight="1" spans="3:3">
      <c r="C559" s="153"/>
    </row>
    <row r="560" customHeight="1" spans="3:3">
      <c r="C560" s="153"/>
    </row>
    <row r="561" customHeight="1" spans="3:3">
      <c r="C561" s="153"/>
    </row>
    <row r="562" customHeight="1" spans="3:3">
      <c r="C562" s="153"/>
    </row>
    <row r="563" customHeight="1" spans="3:3">
      <c r="C563" s="153"/>
    </row>
    <row r="564" customHeight="1" spans="3:3">
      <c r="C564" s="153"/>
    </row>
    <row r="565" customHeight="1" spans="3:3">
      <c r="C565" s="153"/>
    </row>
    <row r="566" customHeight="1" spans="3:3">
      <c r="C566" s="153"/>
    </row>
    <row r="567" customHeight="1" spans="3:3">
      <c r="C567" s="153"/>
    </row>
    <row r="568" customHeight="1" spans="3:3">
      <c r="C568" s="153"/>
    </row>
    <row r="569" customHeight="1" spans="3:3">
      <c r="C569" s="153"/>
    </row>
    <row r="570" customHeight="1" spans="3:3">
      <c r="C570" s="153"/>
    </row>
    <row r="571" customHeight="1" spans="3:3">
      <c r="C571" s="153"/>
    </row>
    <row r="572" customHeight="1" spans="3:3">
      <c r="C572" s="154"/>
    </row>
  </sheetData>
  <mergeCells count="1">
    <mergeCell ref="A1:C1"/>
  </mergeCells>
  <printOptions horizontalCentered="1"/>
  <pageMargins left="0.786805555555556" right="0.786805555555556" top="0.786805555555556" bottom="0.707638888888889" header="0" footer="0"/>
  <pageSetup paperSize="9" firstPageNumber="34" orientation="portrait" useFirstPageNumber="1"/>
  <headerFooter alignWithMargins="0">
    <evenFooter>&amp;C-2-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4"/>
  <sheetViews>
    <sheetView workbookViewId="0">
      <selection activeCell="A1" sqref="$A1:$XFD1048576"/>
    </sheetView>
  </sheetViews>
  <sheetFormatPr defaultColWidth="9" defaultRowHeight="15" customHeight="1" outlineLevelCol="2"/>
  <cols>
    <col min="1" max="1" width="52.25" style="137" customWidth="1"/>
    <col min="2" max="2" width="13.875" style="138" customWidth="1"/>
    <col min="3" max="3" width="12.875" style="139" customWidth="1"/>
    <col min="4" max="16384" width="9" style="137"/>
  </cols>
  <sheetData>
    <row r="1" ht="39" customHeight="1" spans="1:3">
      <c r="A1" s="140" t="s">
        <v>1149</v>
      </c>
      <c r="B1" s="141"/>
      <c r="C1" s="142"/>
    </row>
    <row r="2" customHeight="1" spans="1:3">
      <c r="A2" s="143" t="s">
        <v>1150</v>
      </c>
      <c r="B2" s="144"/>
      <c r="C2" s="145" t="s">
        <v>2</v>
      </c>
    </row>
    <row r="3" ht="20.1" customHeight="1" spans="1:3">
      <c r="A3" s="146" t="s">
        <v>701</v>
      </c>
      <c r="B3" s="147" t="s">
        <v>791</v>
      </c>
      <c r="C3" s="148" t="s">
        <v>683</v>
      </c>
    </row>
    <row r="4" ht="20.1" customHeight="1" spans="1:3">
      <c r="A4" s="149" t="s">
        <v>1151</v>
      </c>
      <c r="B4" s="150">
        <f>SUM(B5:B13)</f>
        <v>9020</v>
      </c>
      <c r="C4" s="148"/>
    </row>
    <row r="5" ht="18.6" customHeight="1" spans="1:3">
      <c r="A5" s="149" t="s">
        <v>1152</v>
      </c>
      <c r="B5" s="150">
        <v>4404</v>
      </c>
      <c r="C5" s="151"/>
    </row>
    <row r="6" ht="18.6" customHeight="1" spans="1:3">
      <c r="A6" s="149" t="s">
        <v>1153</v>
      </c>
      <c r="B6" s="150">
        <v>2922</v>
      </c>
      <c r="C6" s="151"/>
    </row>
    <row r="7" ht="18.6" customHeight="1" spans="1:3">
      <c r="A7" s="149" t="s">
        <v>1154</v>
      </c>
      <c r="B7" s="150">
        <v>175</v>
      </c>
      <c r="C7" s="151"/>
    </row>
    <row r="8" ht="18.6" customHeight="1" spans="1:3">
      <c r="A8" s="149" t="s">
        <v>1155</v>
      </c>
      <c r="B8" s="150">
        <v>169</v>
      </c>
      <c r="C8" s="151"/>
    </row>
    <row r="9" ht="18.6" customHeight="1" spans="1:3">
      <c r="A9" s="149" t="s">
        <v>1156</v>
      </c>
      <c r="B9" s="150">
        <v>25</v>
      </c>
      <c r="C9" s="151"/>
    </row>
    <row r="10" ht="18.6" customHeight="1" spans="1:3">
      <c r="A10" s="149" t="s">
        <v>1157</v>
      </c>
      <c r="B10" s="150">
        <v>691</v>
      </c>
      <c r="C10" s="151"/>
    </row>
    <row r="11" ht="18.6" customHeight="1" spans="1:3">
      <c r="A11" s="149" t="s">
        <v>1158</v>
      </c>
      <c r="B11" s="150">
        <v>495</v>
      </c>
      <c r="C11" s="151"/>
    </row>
    <row r="12" ht="18.6" customHeight="1" spans="1:3">
      <c r="A12" s="149" t="s">
        <v>1157</v>
      </c>
      <c r="B12" s="150">
        <v>13</v>
      </c>
      <c r="C12" s="151"/>
    </row>
    <row r="13" ht="18.6" customHeight="1" spans="1:3">
      <c r="A13" s="149" t="s">
        <v>1159</v>
      </c>
      <c r="B13" s="150">
        <v>126</v>
      </c>
      <c r="C13" s="151"/>
    </row>
    <row r="14" ht="18.6" customHeight="1" spans="1:3">
      <c r="A14" s="149" t="s">
        <v>1160</v>
      </c>
      <c r="B14" s="150">
        <f>SUM(B15:B17)</f>
        <v>10145</v>
      </c>
      <c r="C14" s="151"/>
    </row>
    <row r="15" ht="18.6" customHeight="1" spans="1:3">
      <c r="A15" s="149" t="s">
        <v>1161</v>
      </c>
      <c r="B15" s="150">
        <v>5449</v>
      </c>
      <c r="C15" s="151"/>
    </row>
    <row r="16" ht="18.6" customHeight="1" spans="1:3">
      <c r="A16" s="149" t="s">
        <v>1162</v>
      </c>
      <c r="B16" s="150">
        <v>1131</v>
      </c>
      <c r="C16" s="151"/>
    </row>
    <row r="17" ht="18.6" customHeight="1" spans="1:3">
      <c r="A17" s="149" t="s">
        <v>1163</v>
      </c>
      <c r="B17" s="150">
        <v>3565</v>
      </c>
      <c r="C17" s="151"/>
    </row>
    <row r="18" ht="18.6" customHeight="1" spans="1:3">
      <c r="A18" s="149" t="s">
        <v>1164</v>
      </c>
      <c r="B18" s="150">
        <f>SUM(B19:B44)</f>
        <v>2931</v>
      </c>
      <c r="C18" s="151"/>
    </row>
    <row r="19" ht="18.6" customHeight="1" spans="1:3">
      <c r="A19" s="149" t="s">
        <v>1165</v>
      </c>
      <c r="B19" s="150">
        <v>730</v>
      </c>
      <c r="C19" s="151"/>
    </row>
    <row r="20" ht="18.6" customHeight="1" spans="1:3">
      <c r="A20" s="149" t="s">
        <v>1166</v>
      </c>
      <c r="B20" s="150">
        <v>945</v>
      </c>
      <c r="C20" s="151"/>
    </row>
    <row r="21" ht="18.6" customHeight="1" spans="1:3">
      <c r="A21" s="149" t="s">
        <v>1167</v>
      </c>
      <c r="B21" s="150">
        <v>3</v>
      </c>
      <c r="C21" s="151"/>
    </row>
    <row r="22" ht="18.6" customHeight="1" spans="1:3">
      <c r="A22" s="149" t="s">
        <v>1168</v>
      </c>
      <c r="B22" s="150">
        <v>100</v>
      </c>
      <c r="C22" s="151"/>
    </row>
    <row r="23" ht="18.6" customHeight="1" spans="1:3">
      <c r="A23" s="149" t="s">
        <v>1169</v>
      </c>
      <c r="B23" s="150">
        <v>75</v>
      </c>
      <c r="C23" s="151"/>
    </row>
    <row r="24" ht="18.6" customHeight="1" spans="1:3">
      <c r="A24" s="149" t="s">
        <v>1170</v>
      </c>
      <c r="B24" s="150">
        <v>54</v>
      </c>
      <c r="C24" s="151"/>
    </row>
    <row r="25" ht="18.6" customHeight="1" spans="1:3">
      <c r="A25" s="149" t="s">
        <v>1171</v>
      </c>
      <c r="B25" s="150">
        <v>14</v>
      </c>
      <c r="C25" s="151"/>
    </row>
    <row r="26" ht="18.6" customHeight="1" spans="1:3">
      <c r="A26" s="149" t="s">
        <v>1172</v>
      </c>
      <c r="B26" s="150">
        <v>31</v>
      </c>
      <c r="C26" s="151"/>
    </row>
    <row r="27" ht="18.6" customHeight="1" spans="1:3">
      <c r="A27" s="149" t="s">
        <v>1173</v>
      </c>
      <c r="B27" s="150">
        <v>-9</v>
      </c>
      <c r="C27" s="151"/>
    </row>
    <row r="28" ht="18.6" customHeight="1" spans="1:3">
      <c r="A28" s="149" t="s">
        <v>1174</v>
      </c>
      <c r="B28" s="150">
        <v>-163</v>
      </c>
      <c r="C28" s="151"/>
    </row>
    <row r="29" ht="18.6" customHeight="1" spans="1:3">
      <c r="A29" s="149" t="s">
        <v>1175</v>
      </c>
      <c r="B29" s="150">
        <v>-937</v>
      </c>
      <c r="C29" s="151"/>
    </row>
    <row r="30" ht="18.6" customHeight="1" spans="1:3">
      <c r="A30" s="149" t="s">
        <v>1176</v>
      </c>
      <c r="B30" s="150">
        <v>87</v>
      </c>
      <c r="C30" s="151"/>
    </row>
    <row r="31" ht="18.6" customHeight="1" spans="1:3">
      <c r="A31" s="149" t="s">
        <v>1176</v>
      </c>
      <c r="B31" s="150">
        <v>9</v>
      </c>
      <c r="C31" s="151"/>
    </row>
    <row r="32" ht="18.6" customHeight="1" spans="1:3">
      <c r="A32" s="149" t="s">
        <v>1177</v>
      </c>
      <c r="B32" s="150">
        <v>-200</v>
      </c>
      <c r="C32" s="151"/>
    </row>
    <row r="33" ht="18.6" customHeight="1" spans="1:3">
      <c r="A33" s="149" t="s">
        <v>1178</v>
      </c>
      <c r="B33" s="150">
        <v>100</v>
      </c>
      <c r="C33" s="151"/>
    </row>
    <row r="34" ht="18.6" customHeight="1" spans="1:3">
      <c r="A34" s="149" t="s">
        <v>1179</v>
      </c>
      <c r="B34" s="150">
        <v>1986</v>
      </c>
      <c r="C34" s="151"/>
    </row>
    <row r="35" ht="18.6" customHeight="1" spans="1:3">
      <c r="A35" s="149" t="s">
        <v>1180</v>
      </c>
      <c r="B35" s="150">
        <v>-112</v>
      </c>
      <c r="C35" s="151"/>
    </row>
    <row r="36" ht="18.6" customHeight="1" spans="1:3">
      <c r="A36" s="149" t="s">
        <v>1181</v>
      </c>
      <c r="B36" s="150">
        <v>3</v>
      </c>
      <c r="C36" s="151"/>
    </row>
    <row r="37" ht="18.6" customHeight="1" spans="1:3">
      <c r="A37" s="149" t="s">
        <v>1182</v>
      </c>
      <c r="B37" s="150">
        <v>3</v>
      </c>
      <c r="C37" s="151"/>
    </row>
    <row r="38" ht="18.6" customHeight="1" spans="1:3">
      <c r="A38" s="149" t="s">
        <v>1183</v>
      </c>
      <c r="B38" s="150">
        <v>1</v>
      </c>
      <c r="C38" s="151"/>
    </row>
    <row r="39" ht="18.6" customHeight="1" spans="1:3">
      <c r="A39" s="149" t="s">
        <v>1184</v>
      </c>
      <c r="B39" s="150">
        <v>4</v>
      </c>
      <c r="C39" s="151"/>
    </row>
    <row r="40" ht="18.6" customHeight="1" spans="1:3">
      <c r="A40" s="149" t="s">
        <v>1185</v>
      </c>
      <c r="B40" s="150">
        <v>2</v>
      </c>
      <c r="C40" s="151"/>
    </row>
    <row r="41" ht="18.6" customHeight="1" spans="1:3">
      <c r="A41" s="149" t="s">
        <v>1186</v>
      </c>
      <c r="B41" s="150">
        <v>7</v>
      </c>
      <c r="C41" s="151"/>
    </row>
    <row r="42" ht="18.6" customHeight="1" spans="1:3">
      <c r="A42" s="149" t="s">
        <v>1187</v>
      </c>
      <c r="B42" s="150">
        <v>47</v>
      </c>
      <c r="C42" s="151"/>
    </row>
    <row r="43" ht="18.6" customHeight="1" spans="1:3">
      <c r="A43" s="149" t="s">
        <v>1188</v>
      </c>
      <c r="B43" s="150">
        <v>1</v>
      </c>
      <c r="C43" s="151"/>
    </row>
    <row r="44" ht="18.6" customHeight="1" spans="1:3">
      <c r="A44" s="152" t="s">
        <v>1178</v>
      </c>
      <c r="B44" s="150">
        <v>150</v>
      </c>
      <c r="C44" s="151"/>
    </row>
    <row r="45" ht="18.6" customHeight="1" spans="1:3">
      <c r="A45" s="149" t="s">
        <v>1189</v>
      </c>
      <c r="B45" s="150">
        <f>SUM(B46)</f>
        <v>3286</v>
      </c>
      <c r="C45" s="151"/>
    </row>
    <row r="46" ht="18.6" customHeight="1" spans="1:3">
      <c r="A46" s="149" t="s">
        <v>1190</v>
      </c>
      <c r="B46" s="150">
        <v>3286</v>
      </c>
      <c r="C46" s="151"/>
    </row>
    <row r="47" ht="18.6" customHeight="1" spans="1:3">
      <c r="A47" s="149" t="s">
        <v>1191</v>
      </c>
      <c r="B47" s="150">
        <f>SUM(B48)</f>
        <v>82</v>
      </c>
      <c r="C47" s="151"/>
    </row>
    <row r="48" ht="18.6" customHeight="1" spans="1:3">
      <c r="A48" s="149" t="s">
        <v>1192</v>
      </c>
      <c r="B48" s="150">
        <v>82</v>
      </c>
      <c r="C48" s="151"/>
    </row>
    <row r="49" ht="18.6" customHeight="1" spans="1:3">
      <c r="A49" s="149" t="s">
        <v>1193</v>
      </c>
      <c r="B49" s="150">
        <f>SUM(B50:B58)</f>
        <v>1394</v>
      </c>
      <c r="C49" s="151"/>
    </row>
    <row r="50" ht="18.6" customHeight="1" spans="1:3">
      <c r="A50" s="149" t="s">
        <v>1194</v>
      </c>
      <c r="B50" s="150">
        <v>581</v>
      </c>
      <c r="C50" s="151"/>
    </row>
    <row r="51" ht="18.6" customHeight="1" spans="1:3">
      <c r="A51" s="149" t="s">
        <v>1195</v>
      </c>
      <c r="B51" s="150">
        <v>286</v>
      </c>
      <c r="C51" s="151"/>
    </row>
    <row r="52" ht="18.6" customHeight="1" spans="1:3">
      <c r="A52" s="149" t="s">
        <v>1196</v>
      </c>
      <c r="B52" s="150">
        <v>7</v>
      </c>
      <c r="C52" s="151"/>
    </row>
    <row r="53" ht="18.6" customHeight="1" spans="1:3">
      <c r="A53" s="149" t="s">
        <v>1197</v>
      </c>
      <c r="B53" s="150">
        <v>7</v>
      </c>
      <c r="C53" s="151"/>
    </row>
    <row r="54" ht="18.6" customHeight="1" spans="1:3">
      <c r="A54" s="149" t="s">
        <v>1198</v>
      </c>
      <c r="B54" s="150">
        <v>3</v>
      </c>
      <c r="C54" s="151"/>
    </row>
    <row r="55" ht="18.6" customHeight="1" spans="1:3">
      <c r="A55" s="149" t="s">
        <v>1199</v>
      </c>
      <c r="B55" s="150">
        <v>105</v>
      </c>
      <c r="C55" s="151"/>
    </row>
    <row r="56" ht="18.6" customHeight="1" spans="1:3">
      <c r="A56" s="149" t="s">
        <v>1200</v>
      </c>
      <c r="B56" s="150">
        <v>235</v>
      </c>
      <c r="C56" s="151"/>
    </row>
    <row r="57" ht="18.6" customHeight="1" spans="1:3">
      <c r="A57" s="149" t="s">
        <v>1201</v>
      </c>
      <c r="B57" s="150">
        <v>154</v>
      </c>
      <c r="C57" s="151"/>
    </row>
    <row r="58" ht="18.6" customHeight="1" spans="1:3">
      <c r="A58" s="149" t="s">
        <v>1202</v>
      </c>
      <c r="B58" s="150">
        <v>16</v>
      </c>
      <c r="C58" s="151"/>
    </row>
    <row r="59" ht="18.6" customHeight="1" spans="1:3">
      <c r="A59" s="149" t="s">
        <v>1203</v>
      </c>
      <c r="B59" s="150">
        <f>SUM(B60:B77)</f>
        <v>4441</v>
      </c>
      <c r="C59" s="151"/>
    </row>
    <row r="60" ht="18.6" customHeight="1" spans="1:3">
      <c r="A60" s="149" t="s">
        <v>1204</v>
      </c>
      <c r="B60" s="150">
        <v>2400</v>
      </c>
      <c r="C60" s="151"/>
    </row>
    <row r="61" ht="18.6" customHeight="1" spans="1:3">
      <c r="A61" s="149" t="s">
        <v>1205</v>
      </c>
      <c r="B61" s="150">
        <v>60</v>
      </c>
      <c r="C61" s="151"/>
    </row>
    <row r="62" ht="18.6" customHeight="1" spans="1:3">
      <c r="A62" s="149" t="s">
        <v>1206</v>
      </c>
      <c r="B62" s="150">
        <v>750</v>
      </c>
      <c r="C62" s="151"/>
    </row>
    <row r="63" ht="18.6" customHeight="1" spans="1:3">
      <c r="A63" s="149" t="s">
        <v>1207</v>
      </c>
      <c r="B63" s="150">
        <v>30</v>
      </c>
      <c r="C63" s="151"/>
    </row>
    <row r="64" ht="18.6" customHeight="1" spans="1:3">
      <c r="A64" s="149" t="s">
        <v>1208</v>
      </c>
      <c r="B64" s="150">
        <v>188</v>
      </c>
      <c r="C64" s="151"/>
    </row>
    <row r="65" ht="18.6" customHeight="1" spans="1:3">
      <c r="A65" s="149" t="s">
        <v>1208</v>
      </c>
      <c r="B65" s="150">
        <v>180</v>
      </c>
      <c r="C65" s="151"/>
    </row>
    <row r="66" ht="18.6" customHeight="1" spans="1:3">
      <c r="A66" s="149" t="s">
        <v>1209</v>
      </c>
      <c r="B66" s="150">
        <v>45</v>
      </c>
      <c r="C66" s="151"/>
    </row>
    <row r="67" ht="18.6" customHeight="1" spans="1:3">
      <c r="A67" s="149" t="s">
        <v>1210</v>
      </c>
      <c r="B67" s="150">
        <v>275</v>
      </c>
      <c r="C67" s="151"/>
    </row>
    <row r="68" ht="18.6" customHeight="1" spans="1:3">
      <c r="A68" s="149" t="s">
        <v>1211</v>
      </c>
      <c r="B68" s="150">
        <v>1</v>
      </c>
      <c r="C68" s="151"/>
    </row>
    <row r="69" ht="18.6" customHeight="1" spans="1:3">
      <c r="A69" s="149" t="s">
        <v>1212</v>
      </c>
      <c r="B69" s="150">
        <v>2</v>
      </c>
      <c r="C69" s="151"/>
    </row>
    <row r="70" ht="18.6" customHeight="1" spans="1:3">
      <c r="A70" s="149" t="s">
        <v>1213</v>
      </c>
      <c r="B70" s="150">
        <v>0</v>
      </c>
      <c r="C70" s="151"/>
    </row>
    <row r="71" ht="18.6" customHeight="1" spans="1:3">
      <c r="A71" s="149" t="s">
        <v>1214</v>
      </c>
      <c r="B71" s="150">
        <v>140</v>
      </c>
      <c r="C71" s="151"/>
    </row>
    <row r="72" ht="18.6" customHeight="1" spans="1:3">
      <c r="A72" s="149" t="s">
        <v>1215</v>
      </c>
      <c r="B72" s="150">
        <v>1</v>
      </c>
      <c r="C72" s="151"/>
    </row>
    <row r="73" ht="18.6" customHeight="1" spans="1:3">
      <c r="A73" s="149" t="s">
        <v>1216</v>
      </c>
      <c r="B73" s="150">
        <v>335</v>
      </c>
      <c r="C73" s="151"/>
    </row>
    <row r="74" ht="18.6" customHeight="1" spans="1:3">
      <c r="A74" s="149" t="s">
        <v>1217</v>
      </c>
      <c r="B74" s="150">
        <v>0</v>
      </c>
      <c r="C74" s="151"/>
    </row>
    <row r="75" ht="18.6" customHeight="1" spans="1:3">
      <c r="A75" s="149" t="s">
        <v>1218</v>
      </c>
      <c r="B75" s="150">
        <v>1</v>
      </c>
      <c r="C75" s="151"/>
    </row>
    <row r="76" ht="18.6" customHeight="1" spans="1:3">
      <c r="A76" s="149" t="s">
        <v>1219</v>
      </c>
      <c r="B76" s="150">
        <v>31</v>
      </c>
      <c r="C76" s="151"/>
    </row>
    <row r="77" ht="18.6" customHeight="1" spans="1:3">
      <c r="A77" s="149" t="s">
        <v>1220</v>
      </c>
      <c r="B77" s="150">
        <v>2</v>
      </c>
      <c r="C77" s="151"/>
    </row>
    <row r="78" ht="18.6" customHeight="1" spans="1:3">
      <c r="A78" s="149" t="s">
        <v>1221</v>
      </c>
      <c r="B78" s="150">
        <f>SUM(B79:B88)</f>
        <v>6012</v>
      </c>
      <c r="C78" s="151"/>
    </row>
    <row r="79" ht="18.6" customHeight="1" spans="1:3">
      <c r="A79" s="149" t="s">
        <v>1222</v>
      </c>
      <c r="B79" s="150">
        <v>4168</v>
      </c>
      <c r="C79" s="151"/>
    </row>
    <row r="80" ht="18.6" customHeight="1" spans="1:3">
      <c r="A80" s="149" t="s">
        <v>1223</v>
      </c>
      <c r="B80" s="150">
        <v>296</v>
      </c>
      <c r="C80" s="151"/>
    </row>
    <row r="81" ht="18.6" customHeight="1" spans="1:3">
      <c r="A81" s="149" t="s">
        <v>1224</v>
      </c>
      <c r="B81" s="150">
        <v>1</v>
      </c>
      <c r="C81" s="151"/>
    </row>
    <row r="82" ht="18.6" customHeight="1" spans="1:3">
      <c r="A82" s="149" t="s">
        <v>1225</v>
      </c>
      <c r="B82" s="150">
        <v>57</v>
      </c>
      <c r="C82" s="151"/>
    </row>
    <row r="83" ht="18.6" customHeight="1" spans="1:3">
      <c r="A83" s="149" t="s">
        <v>1226</v>
      </c>
      <c r="B83" s="150">
        <v>356</v>
      </c>
      <c r="C83" s="151"/>
    </row>
    <row r="84" ht="18.6" customHeight="1" spans="1:3">
      <c r="A84" s="149" t="s">
        <v>1227</v>
      </c>
      <c r="B84" s="150">
        <v>470</v>
      </c>
      <c r="C84" s="151"/>
    </row>
    <row r="85" ht="18.6" customHeight="1" spans="1:3">
      <c r="A85" s="149" t="s">
        <v>1228</v>
      </c>
      <c r="B85" s="150">
        <v>30</v>
      </c>
      <c r="C85" s="151"/>
    </row>
    <row r="86" ht="18.6" customHeight="1" spans="1:3">
      <c r="A86" s="149" t="s">
        <v>1229</v>
      </c>
      <c r="B86" s="150">
        <v>126</v>
      </c>
      <c r="C86" s="151"/>
    </row>
    <row r="87" ht="18.6" customHeight="1" spans="1:3">
      <c r="A87" s="149" t="s">
        <v>1230</v>
      </c>
      <c r="B87" s="150">
        <v>141</v>
      </c>
      <c r="C87" s="151"/>
    </row>
    <row r="88" ht="18.6" customHeight="1" spans="1:3">
      <c r="A88" s="149" t="s">
        <v>1231</v>
      </c>
      <c r="B88" s="150">
        <v>367</v>
      </c>
      <c r="C88" s="151"/>
    </row>
    <row r="89" ht="18.6" customHeight="1" spans="1:3">
      <c r="A89" s="149" t="s">
        <v>1232</v>
      </c>
      <c r="B89" s="150">
        <f>SUM(B90:B96)</f>
        <v>3799</v>
      </c>
      <c r="C89" s="151"/>
    </row>
    <row r="90" ht="18.6" customHeight="1" spans="1:3">
      <c r="A90" s="149" t="s">
        <v>1233</v>
      </c>
      <c r="B90" s="150">
        <v>1000</v>
      </c>
      <c r="C90" s="151"/>
    </row>
    <row r="91" ht="18.6" customHeight="1" spans="1:3">
      <c r="A91" s="149" t="s">
        <v>1234</v>
      </c>
      <c r="B91" s="150">
        <v>75</v>
      </c>
      <c r="C91" s="151"/>
    </row>
    <row r="92" ht="18.6" customHeight="1" spans="1:3">
      <c r="A92" s="149" t="s">
        <v>1235</v>
      </c>
      <c r="B92" s="150">
        <v>420</v>
      </c>
      <c r="C92" s="151"/>
    </row>
    <row r="93" ht="18.6" customHeight="1" spans="1:3">
      <c r="A93" s="149" t="s">
        <v>1236</v>
      </c>
      <c r="B93" s="150">
        <v>696</v>
      </c>
      <c r="C93" s="151"/>
    </row>
    <row r="94" ht="18.6" customHeight="1" spans="1:3">
      <c r="A94" s="149" t="s">
        <v>1237</v>
      </c>
      <c r="B94" s="150">
        <v>608</v>
      </c>
      <c r="C94" s="151"/>
    </row>
    <row r="95" ht="18.6" customHeight="1" spans="1:3">
      <c r="A95" s="149" t="s">
        <v>1238</v>
      </c>
      <c r="B95" s="150">
        <v>500</v>
      </c>
      <c r="C95" s="151"/>
    </row>
    <row r="96" ht="18.6" customHeight="1" spans="1:3">
      <c r="A96" s="149" t="s">
        <v>1239</v>
      </c>
      <c r="B96" s="150">
        <v>500</v>
      </c>
      <c r="C96" s="151"/>
    </row>
    <row r="97" ht="18.6" customHeight="1" spans="1:3">
      <c r="A97" s="149" t="s">
        <v>1240</v>
      </c>
      <c r="B97" s="150">
        <f>SUM(B98)</f>
        <v>150</v>
      </c>
      <c r="C97" s="151"/>
    </row>
    <row r="98" ht="18.6" customHeight="1" spans="1:3">
      <c r="A98" s="149" t="s">
        <v>1241</v>
      </c>
      <c r="B98" s="150">
        <v>150</v>
      </c>
      <c r="C98" s="151"/>
    </row>
    <row r="99" ht="18.6" customHeight="1" spans="1:3">
      <c r="A99" s="149" t="s">
        <v>1242</v>
      </c>
      <c r="B99" s="150">
        <f>SUM(B100:B115)</f>
        <v>14803</v>
      </c>
      <c r="C99" s="151"/>
    </row>
    <row r="100" ht="18.6" customHeight="1" spans="1:3">
      <c r="A100" s="149" t="s">
        <v>1243</v>
      </c>
      <c r="B100" s="150">
        <v>269</v>
      </c>
      <c r="C100" s="151"/>
    </row>
    <row r="101" ht="18.6" customHeight="1" spans="1:3">
      <c r="A101" s="149" t="s">
        <v>1244</v>
      </c>
      <c r="B101" s="150">
        <v>859</v>
      </c>
      <c r="C101" s="151"/>
    </row>
    <row r="102" ht="18.6" customHeight="1" spans="1:3">
      <c r="A102" s="149" t="s">
        <v>1245</v>
      </c>
      <c r="B102" s="150">
        <v>1</v>
      </c>
      <c r="C102" s="151"/>
    </row>
    <row r="103" ht="18.6" customHeight="1" spans="1:3">
      <c r="A103" s="149" t="s">
        <v>1246</v>
      </c>
      <c r="B103" s="150">
        <v>2</v>
      </c>
      <c r="C103" s="151"/>
    </row>
    <row r="104" ht="18.6" customHeight="1" spans="1:3">
      <c r="A104" s="149" t="s">
        <v>1247</v>
      </c>
      <c r="B104" s="150">
        <v>562</v>
      </c>
      <c r="C104" s="151"/>
    </row>
    <row r="105" ht="18.6" customHeight="1" spans="1:3">
      <c r="A105" s="149" t="s">
        <v>1248</v>
      </c>
      <c r="B105" s="150">
        <v>60</v>
      </c>
      <c r="C105" s="151"/>
    </row>
    <row r="106" ht="18.6" customHeight="1" spans="1:3">
      <c r="A106" s="149" t="s">
        <v>1152</v>
      </c>
      <c r="B106" s="150">
        <v>8310</v>
      </c>
      <c r="C106" s="151"/>
    </row>
    <row r="107" ht="18.6" customHeight="1" spans="1:3">
      <c r="A107" s="149" t="s">
        <v>1249</v>
      </c>
      <c r="B107" s="150">
        <v>3000</v>
      </c>
      <c r="C107" s="151"/>
    </row>
    <row r="108" ht="18.6" customHeight="1" spans="1:3">
      <c r="A108" s="149" t="s">
        <v>1250</v>
      </c>
      <c r="B108" s="150">
        <v>1751</v>
      </c>
      <c r="C108" s="151"/>
    </row>
    <row r="109" ht="18.6" customHeight="1" spans="1:3">
      <c r="A109" s="149" t="s">
        <v>1251</v>
      </c>
      <c r="B109" s="150">
        <v>1859</v>
      </c>
      <c r="C109" s="151"/>
    </row>
    <row r="110" ht="18.6" customHeight="1" spans="1:3">
      <c r="A110" s="149" t="s">
        <v>1252</v>
      </c>
      <c r="B110" s="150">
        <v>-188</v>
      </c>
      <c r="C110" s="151"/>
    </row>
    <row r="111" ht="18.6" customHeight="1" spans="1:3">
      <c r="A111" s="149" t="s">
        <v>1253</v>
      </c>
      <c r="B111" s="150">
        <v>189</v>
      </c>
      <c r="C111" s="151"/>
    </row>
    <row r="112" ht="18.6" customHeight="1" spans="1:3">
      <c r="A112" s="149" t="s">
        <v>1254</v>
      </c>
      <c r="B112" s="150">
        <v>537</v>
      </c>
      <c r="C112" s="151"/>
    </row>
    <row r="113" ht="18.6" customHeight="1" spans="1:3">
      <c r="A113" s="149" t="s">
        <v>1255</v>
      </c>
      <c r="B113" s="150">
        <v>3</v>
      </c>
      <c r="C113" s="151"/>
    </row>
    <row r="114" ht="18.6" customHeight="1" spans="1:3">
      <c r="A114" s="149" t="s">
        <v>1256</v>
      </c>
      <c r="B114" s="150">
        <v>1</v>
      </c>
      <c r="C114" s="151"/>
    </row>
    <row r="115" ht="18.6" customHeight="1" spans="1:3">
      <c r="A115" s="149" t="s">
        <v>1257</v>
      </c>
      <c r="B115" s="150">
        <v>-2412</v>
      </c>
      <c r="C115" s="151"/>
    </row>
    <row r="116" ht="18.6" customHeight="1" spans="1:3">
      <c r="A116" s="149" t="s">
        <v>1258</v>
      </c>
      <c r="B116" s="150">
        <f>SUM(B117:B118)</f>
        <v>631</v>
      </c>
      <c r="C116" s="151"/>
    </row>
    <row r="117" ht="18.6" customHeight="1" spans="1:3">
      <c r="A117" s="149" t="s">
        <v>1259</v>
      </c>
      <c r="B117" s="150">
        <v>166</v>
      </c>
      <c r="C117" s="151"/>
    </row>
    <row r="118" ht="18.6" customHeight="1" spans="1:3">
      <c r="A118" s="149" t="s">
        <v>1260</v>
      </c>
      <c r="B118" s="150">
        <v>465</v>
      </c>
      <c r="C118" s="151"/>
    </row>
    <row r="119" ht="18.6" customHeight="1" spans="1:3">
      <c r="A119" s="149" t="s">
        <v>1261</v>
      </c>
      <c r="B119" s="150">
        <f>SUM(B120:B122)</f>
        <v>378</v>
      </c>
      <c r="C119" s="151"/>
    </row>
    <row r="120" ht="18.6" customHeight="1" spans="1:3">
      <c r="A120" s="149" t="s">
        <v>1262</v>
      </c>
      <c r="B120" s="150">
        <v>290</v>
      </c>
      <c r="C120" s="151"/>
    </row>
    <row r="121" ht="18.6" customHeight="1" spans="1:3">
      <c r="A121" s="149" t="s">
        <v>1263</v>
      </c>
      <c r="B121" s="150">
        <v>87</v>
      </c>
      <c r="C121" s="151"/>
    </row>
    <row r="122" ht="18.6" customHeight="1" spans="1:3">
      <c r="A122" s="149" t="s">
        <v>1264</v>
      </c>
      <c r="B122" s="150">
        <v>1</v>
      </c>
      <c r="C122" s="151"/>
    </row>
    <row r="123" ht="18.6" customHeight="1" spans="1:3">
      <c r="A123" s="146" t="s">
        <v>1265</v>
      </c>
      <c r="B123" s="150">
        <f>SUM(B4+B14+B18+B45+B47+B49+B59+B78+B89+B97+B99+B116+B119)</f>
        <v>57072</v>
      </c>
      <c r="C123" s="151"/>
    </row>
    <row r="124" customHeight="1" spans="3:3">
      <c r="C124" s="153"/>
    </row>
    <row r="125" customHeight="1" spans="3:3">
      <c r="C125" s="153"/>
    </row>
    <row r="126" customHeight="1" spans="3:3">
      <c r="C126" s="153"/>
    </row>
    <row r="127" customHeight="1" spans="3:3">
      <c r="C127" s="153"/>
    </row>
    <row r="128" customHeight="1" spans="3:3">
      <c r="C128" s="153"/>
    </row>
    <row r="129" customHeight="1" spans="3:3">
      <c r="C129" s="153"/>
    </row>
    <row r="130" customHeight="1" spans="3:3">
      <c r="C130" s="153"/>
    </row>
    <row r="131" customHeight="1" spans="3:3">
      <c r="C131" s="153"/>
    </row>
    <row r="132" customHeight="1" spans="3:3">
      <c r="C132" s="153"/>
    </row>
    <row r="133" customHeight="1" spans="3:3">
      <c r="C133" s="153"/>
    </row>
    <row r="134" customHeight="1" spans="3:3">
      <c r="C134" s="153"/>
    </row>
    <row r="135" customHeight="1" spans="3:3">
      <c r="C135" s="153"/>
    </row>
    <row r="136" customHeight="1" spans="3:3">
      <c r="C136" s="153"/>
    </row>
    <row r="137" customHeight="1" spans="3:3">
      <c r="C137" s="153"/>
    </row>
    <row r="138" customHeight="1" spans="3:3">
      <c r="C138" s="153"/>
    </row>
    <row r="139" customHeight="1" spans="3:3">
      <c r="C139" s="153"/>
    </row>
    <row r="140" customHeight="1" spans="3:3">
      <c r="C140" s="153"/>
    </row>
    <row r="141" customHeight="1" spans="3:3">
      <c r="C141" s="153"/>
    </row>
    <row r="142" customHeight="1" spans="3:3">
      <c r="C142" s="153"/>
    </row>
    <row r="143" customHeight="1" spans="3:3">
      <c r="C143" s="153"/>
    </row>
    <row r="144" customHeight="1" spans="3:3">
      <c r="C144" s="153"/>
    </row>
    <row r="145" customHeight="1" spans="3:3">
      <c r="C145" s="153"/>
    </row>
    <row r="146" customHeight="1" spans="3:3">
      <c r="C146" s="153"/>
    </row>
    <row r="147" customHeight="1" spans="3:3">
      <c r="C147" s="153"/>
    </row>
    <row r="148" customHeight="1" spans="3:3">
      <c r="C148" s="153"/>
    </row>
    <row r="149" customHeight="1" spans="3:3">
      <c r="C149" s="153"/>
    </row>
    <row r="150" customHeight="1" spans="3:3">
      <c r="C150" s="153"/>
    </row>
    <row r="151" customHeight="1" spans="3:3">
      <c r="C151" s="153"/>
    </row>
    <row r="152" customHeight="1" spans="3:3">
      <c r="C152" s="153"/>
    </row>
    <row r="153" customHeight="1" spans="3:3">
      <c r="C153" s="153"/>
    </row>
    <row r="154" customHeight="1" spans="3:3">
      <c r="C154" s="153"/>
    </row>
    <row r="155" customHeight="1" spans="3:3">
      <c r="C155" s="153"/>
    </row>
    <row r="156" customHeight="1" spans="3:3">
      <c r="C156" s="153"/>
    </row>
    <row r="157" customHeight="1" spans="3:3">
      <c r="C157" s="153"/>
    </row>
    <row r="158" customHeight="1" spans="3:3">
      <c r="C158" s="153"/>
    </row>
    <row r="159" customHeight="1" spans="3:3">
      <c r="C159" s="153"/>
    </row>
    <row r="160" customHeight="1" spans="3:3">
      <c r="C160" s="153"/>
    </row>
    <row r="161" customHeight="1" spans="3:3">
      <c r="C161" s="153"/>
    </row>
    <row r="162" customHeight="1" spans="3:3">
      <c r="C162" s="153"/>
    </row>
    <row r="163" customHeight="1" spans="3:3">
      <c r="C163" s="153"/>
    </row>
    <row r="164" customHeight="1" spans="3:3">
      <c r="C164" s="153"/>
    </row>
    <row r="165" customHeight="1" spans="3:3">
      <c r="C165" s="153"/>
    </row>
    <row r="166" customHeight="1" spans="3:3">
      <c r="C166" s="153"/>
    </row>
    <row r="167" customHeight="1" spans="3:3">
      <c r="C167" s="153"/>
    </row>
    <row r="168" customHeight="1" spans="3:3">
      <c r="C168" s="153"/>
    </row>
    <row r="169" customHeight="1" spans="3:3">
      <c r="C169" s="153"/>
    </row>
    <row r="170" customHeight="1" spans="3:3">
      <c r="C170" s="153"/>
    </row>
    <row r="171" customHeight="1" spans="3:3">
      <c r="C171" s="153"/>
    </row>
    <row r="172" customHeight="1" spans="3:3">
      <c r="C172" s="153"/>
    </row>
    <row r="173" customHeight="1" spans="3:3">
      <c r="C173" s="153"/>
    </row>
    <row r="174" customHeight="1" spans="3:3">
      <c r="C174" s="153"/>
    </row>
    <row r="175" customHeight="1" spans="3:3">
      <c r="C175" s="153"/>
    </row>
    <row r="176" customHeight="1" spans="3:3">
      <c r="C176" s="153"/>
    </row>
    <row r="177" customHeight="1" spans="3:3">
      <c r="C177" s="153"/>
    </row>
    <row r="178" customHeight="1" spans="3:3">
      <c r="C178" s="153"/>
    </row>
    <row r="179" customHeight="1" spans="3:3">
      <c r="C179" s="153"/>
    </row>
    <row r="180" customHeight="1" spans="3:3">
      <c r="C180" s="153"/>
    </row>
    <row r="181" customHeight="1" spans="3:3">
      <c r="C181" s="153"/>
    </row>
    <row r="182" customHeight="1" spans="3:3">
      <c r="C182" s="153"/>
    </row>
    <row r="183" customHeight="1" spans="3:3">
      <c r="C183" s="153"/>
    </row>
    <row r="184" customHeight="1" spans="3:3">
      <c r="C184" s="153"/>
    </row>
    <row r="185" customHeight="1" spans="3:3">
      <c r="C185" s="153"/>
    </row>
    <row r="186" customHeight="1" spans="3:3">
      <c r="C186" s="153"/>
    </row>
    <row r="187" customHeight="1" spans="3:3">
      <c r="C187" s="153"/>
    </row>
    <row r="188" customHeight="1" spans="3:3">
      <c r="C188" s="153"/>
    </row>
    <row r="189" customHeight="1" spans="3:3">
      <c r="C189" s="153"/>
    </row>
    <row r="190" customHeight="1" spans="3:3">
      <c r="C190" s="153"/>
    </row>
    <row r="191" customHeight="1" spans="3:3">
      <c r="C191" s="153"/>
    </row>
    <row r="192" customHeight="1" spans="3:3">
      <c r="C192" s="153"/>
    </row>
    <row r="193" customHeight="1" spans="3:3">
      <c r="C193" s="153"/>
    </row>
    <row r="194" customHeight="1" spans="3:3">
      <c r="C194" s="153"/>
    </row>
    <row r="195" customHeight="1" spans="3:3">
      <c r="C195" s="153"/>
    </row>
    <row r="196" customHeight="1" spans="3:3">
      <c r="C196" s="153"/>
    </row>
    <row r="197" customHeight="1" spans="3:3">
      <c r="C197" s="153"/>
    </row>
    <row r="198" customHeight="1" spans="3:3">
      <c r="C198" s="153"/>
    </row>
    <row r="199" customHeight="1" spans="3:3">
      <c r="C199" s="153"/>
    </row>
    <row r="200" customHeight="1" spans="3:3">
      <c r="C200" s="153"/>
    </row>
    <row r="201" customHeight="1" spans="3:3">
      <c r="C201" s="153"/>
    </row>
    <row r="202" customHeight="1" spans="3:3">
      <c r="C202" s="153"/>
    </row>
    <row r="203" customHeight="1" spans="3:3">
      <c r="C203" s="153"/>
    </row>
    <row r="204" customHeight="1" spans="3:3">
      <c r="C204" s="153"/>
    </row>
    <row r="205" customHeight="1" spans="3:3">
      <c r="C205" s="153"/>
    </row>
    <row r="206" customHeight="1" spans="3:3">
      <c r="C206" s="153"/>
    </row>
    <row r="207" customHeight="1" spans="3:3">
      <c r="C207" s="153"/>
    </row>
    <row r="208" customHeight="1" spans="3:3">
      <c r="C208" s="153"/>
    </row>
    <row r="209" customHeight="1" spans="3:3">
      <c r="C209" s="153"/>
    </row>
    <row r="210" customHeight="1" spans="3:3">
      <c r="C210" s="153"/>
    </row>
    <row r="211" customHeight="1" spans="3:3">
      <c r="C211" s="153"/>
    </row>
    <row r="212" customHeight="1" spans="3:3">
      <c r="C212" s="153"/>
    </row>
    <row r="213" customHeight="1" spans="3:3">
      <c r="C213" s="153"/>
    </row>
    <row r="214" customHeight="1" spans="3:3">
      <c r="C214" s="153"/>
    </row>
    <row r="215" customHeight="1" spans="3:3">
      <c r="C215" s="153"/>
    </row>
    <row r="216" customHeight="1" spans="3:3">
      <c r="C216" s="153"/>
    </row>
    <row r="217" customHeight="1" spans="3:3">
      <c r="C217" s="153"/>
    </row>
    <row r="218" customHeight="1" spans="3:3">
      <c r="C218" s="153"/>
    </row>
    <row r="219" customHeight="1" spans="3:3">
      <c r="C219" s="153"/>
    </row>
    <row r="220" customHeight="1" spans="3:3">
      <c r="C220" s="153"/>
    </row>
    <row r="221" customHeight="1" spans="3:3">
      <c r="C221" s="153"/>
    </row>
    <row r="222" customHeight="1" spans="3:3">
      <c r="C222" s="153"/>
    </row>
    <row r="223" customHeight="1" spans="3:3">
      <c r="C223" s="153"/>
    </row>
    <row r="224" customHeight="1" spans="3:3">
      <c r="C224" s="153"/>
    </row>
    <row r="225" customHeight="1" spans="3:3">
      <c r="C225" s="153"/>
    </row>
    <row r="226" customHeight="1" spans="3:3">
      <c r="C226" s="153"/>
    </row>
    <row r="227" customHeight="1" spans="3:3">
      <c r="C227" s="153"/>
    </row>
    <row r="228" customHeight="1" spans="3:3">
      <c r="C228" s="153"/>
    </row>
    <row r="229" customHeight="1" spans="3:3">
      <c r="C229" s="153"/>
    </row>
    <row r="230" customHeight="1" spans="3:3">
      <c r="C230" s="153"/>
    </row>
    <row r="231" customHeight="1" spans="3:3">
      <c r="C231" s="153"/>
    </row>
    <row r="232" customHeight="1" spans="3:3">
      <c r="C232" s="153"/>
    </row>
    <row r="233" customHeight="1" spans="3:3">
      <c r="C233" s="153"/>
    </row>
    <row r="234" customHeight="1" spans="3:3">
      <c r="C234" s="153"/>
    </row>
    <row r="235" customHeight="1" spans="3:3">
      <c r="C235" s="153"/>
    </row>
    <row r="236" customHeight="1" spans="3:3">
      <c r="C236" s="153"/>
    </row>
    <row r="237" customHeight="1" spans="3:3">
      <c r="C237" s="153"/>
    </row>
    <row r="238" customHeight="1" spans="3:3">
      <c r="C238" s="153"/>
    </row>
    <row r="239" customHeight="1" spans="3:3">
      <c r="C239" s="153"/>
    </row>
    <row r="240" customHeight="1" spans="3:3">
      <c r="C240" s="153"/>
    </row>
    <row r="241" customHeight="1" spans="3:3">
      <c r="C241" s="153"/>
    </row>
    <row r="242" customHeight="1" spans="3:3">
      <c r="C242" s="153"/>
    </row>
    <row r="243" customHeight="1" spans="3:3">
      <c r="C243" s="153"/>
    </row>
    <row r="244" customHeight="1" spans="3:3">
      <c r="C244" s="153"/>
    </row>
    <row r="245" customHeight="1" spans="3:3">
      <c r="C245" s="153"/>
    </row>
    <row r="246" customHeight="1" spans="3:3">
      <c r="C246" s="153"/>
    </row>
    <row r="247" customHeight="1" spans="3:3">
      <c r="C247" s="153"/>
    </row>
    <row r="248" customHeight="1" spans="3:3">
      <c r="C248" s="153"/>
    </row>
    <row r="249" customHeight="1" spans="3:3">
      <c r="C249" s="153"/>
    </row>
    <row r="250" customHeight="1" spans="3:3">
      <c r="C250" s="153"/>
    </row>
    <row r="251" customHeight="1" spans="3:3">
      <c r="C251" s="153"/>
    </row>
    <row r="252" customHeight="1" spans="3:3">
      <c r="C252" s="153"/>
    </row>
    <row r="253" customHeight="1" spans="3:3">
      <c r="C253" s="153"/>
    </row>
    <row r="254" customHeight="1" spans="3:3">
      <c r="C254" s="154"/>
    </row>
  </sheetData>
  <mergeCells count="1">
    <mergeCell ref="A1:C1"/>
  </mergeCells>
  <printOptions horizontalCentered="1"/>
  <pageMargins left="0.786805555555556" right="0.786805555555556" top="0.786805555555556" bottom="0.707638888888889" header="0" footer="0"/>
  <pageSetup paperSize="9" firstPageNumber="49" orientation="portrait" useFirstPageNumber="1"/>
  <headerFooter alignWithMargins="0">
    <evenFooter>&amp;C-2-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1" sqref="$A1:$XFD1048576"/>
    </sheetView>
  </sheetViews>
  <sheetFormatPr defaultColWidth="9" defaultRowHeight="14.25" outlineLevelCol="7"/>
  <cols>
    <col min="1" max="1" width="33.125" customWidth="1"/>
    <col min="2" max="2" width="17.75" customWidth="1"/>
    <col min="3" max="3" width="19.25" customWidth="1"/>
    <col min="4" max="4" width="14.875" customWidth="1"/>
    <col min="5" max="5" width="15.25" customWidth="1"/>
    <col min="6" max="6" width="12.75" style="125" customWidth="1"/>
    <col min="7" max="8" width="12.75" hidden="1" customWidth="1"/>
    <col min="9" max="9" width="12.75" customWidth="1"/>
  </cols>
  <sheetData>
    <row r="1" ht="42.75" customHeight="1" spans="1:6">
      <c r="A1" s="4" t="s">
        <v>1266</v>
      </c>
      <c r="B1" s="4"/>
      <c r="C1" s="4"/>
      <c r="D1" s="4"/>
      <c r="E1" s="4"/>
      <c r="F1" s="4"/>
    </row>
    <row r="2" ht="19.5" customHeight="1" spans="1:6">
      <c r="A2" s="6" t="s">
        <v>1267</v>
      </c>
      <c r="B2" s="6"/>
      <c r="C2" s="6"/>
      <c r="D2" s="6"/>
      <c r="E2" s="6"/>
      <c r="F2" s="126" t="s">
        <v>2</v>
      </c>
    </row>
    <row r="3" ht="39" customHeight="1" spans="1:6">
      <c r="A3" s="33" t="s">
        <v>679</v>
      </c>
      <c r="B3" s="33" t="s">
        <v>1268</v>
      </c>
      <c r="C3" s="34" t="s">
        <v>1269</v>
      </c>
      <c r="D3" s="34" t="s">
        <v>1270</v>
      </c>
      <c r="E3" s="34" t="s">
        <v>1271</v>
      </c>
      <c r="F3" s="34" t="s">
        <v>683</v>
      </c>
    </row>
    <row r="4" s="2" customFormat="1" ht="21.95" customHeight="1" spans="1:8">
      <c r="A4" s="55" t="s">
        <v>10</v>
      </c>
      <c r="B4" s="36">
        <f>SUM(B5:B18)</f>
        <v>235145</v>
      </c>
      <c r="C4" s="36">
        <f>SUM(C5:C18)</f>
        <v>131866</v>
      </c>
      <c r="D4" s="37">
        <f>C4/B4</f>
        <v>0.560785898062897</v>
      </c>
      <c r="E4" s="127">
        <v>0.525414709761007</v>
      </c>
      <c r="F4" s="127"/>
      <c r="G4" s="56" t="s">
        <v>10</v>
      </c>
      <c r="H4" s="51">
        <f>SUM(H5:H17)</f>
        <v>86446</v>
      </c>
    </row>
    <row r="5" s="2" customFormat="1" ht="21.95" customHeight="1" spans="1:8">
      <c r="A5" s="55" t="s">
        <v>11</v>
      </c>
      <c r="B5" s="36">
        <v>120085</v>
      </c>
      <c r="C5" s="36">
        <v>60987</v>
      </c>
      <c r="D5" s="37">
        <f t="shared" ref="D5:D27" si="0">C5/B5</f>
        <v>0.507865262106008</v>
      </c>
      <c r="E5" s="127">
        <v>0.545853188684984</v>
      </c>
      <c r="F5" s="127"/>
      <c r="G5" s="56" t="s">
        <v>11</v>
      </c>
      <c r="H5" s="51">
        <v>39452</v>
      </c>
    </row>
    <row r="6" s="2" customFormat="1" ht="21.95" customHeight="1" spans="1:8">
      <c r="A6" s="55" t="s">
        <v>12</v>
      </c>
      <c r="B6" s="36"/>
      <c r="C6" s="36"/>
      <c r="D6" s="37"/>
      <c r="E6" s="127">
        <v>-1</v>
      </c>
      <c r="F6" s="127"/>
      <c r="G6" s="56" t="s">
        <v>12</v>
      </c>
      <c r="H6" s="128">
        <v>-16</v>
      </c>
    </row>
    <row r="7" s="2" customFormat="1" ht="21.95" customHeight="1" spans="1:8">
      <c r="A7" s="55" t="s">
        <v>13</v>
      </c>
      <c r="B7" s="36">
        <v>20160</v>
      </c>
      <c r="C7" s="36">
        <v>16044</v>
      </c>
      <c r="D7" s="37">
        <f t="shared" si="0"/>
        <v>0.795833333333333</v>
      </c>
      <c r="E7" s="127">
        <v>0.915015516829792</v>
      </c>
      <c r="F7" s="127"/>
      <c r="G7" s="56" t="s">
        <v>13</v>
      </c>
      <c r="H7" s="51">
        <v>8378</v>
      </c>
    </row>
    <row r="8" s="2" customFormat="1" ht="21.95" customHeight="1" spans="1:8">
      <c r="A8" s="55" t="s">
        <v>14</v>
      </c>
      <c r="B8" s="36">
        <v>2800</v>
      </c>
      <c r="C8" s="36">
        <v>1761</v>
      </c>
      <c r="D8" s="37">
        <f t="shared" si="0"/>
        <v>0.628928571428571</v>
      </c>
      <c r="E8" s="127">
        <v>0.543382997370727</v>
      </c>
      <c r="F8" s="127"/>
      <c r="G8" s="56" t="s">
        <v>14</v>
      </c>
      <c r="H8" s="51">
        <v>1141</v>
      </c>
    </row>
    <row r="9" s="2" customFormat="1" ht="21.95" customHeight="1" spans="1:8">
      <c r="A9" s="55" t="s">
        <v>15</v>
      </c>
      <c r="B9" s="36">
        <v>25900</v>
      </c>
      <c r="C9" s="36">
        <v>18685</v>
      </c>
      <c r="D9" s="37">
        <f t="shared" si="0"/>
        <v>0.721428571428571</v>
      </c>
      <c r="E9" s="127">
        <v>0.70049144521296</v>
      </c>
      <c r="F9" s="127"/>
      <c r="G9" s="56" t="s">
        <v>15</v>
      </c>
      <c r="H9" s="51">
        <v>10988</v>
      </c>
    </row>
    <row r="10" s="2" customFormat="1" ht="21.95" customHeight="1" spans="1:8">
      <c r="A10" s="55" t="s">
        <v>16</v>
      </c>
      <c r="B10" s="36">
        <v>20000</v>
      </c>
      <c r="C10" s="36">
        <v>9418</v>
      </c>
      <c r="D10" s="37">
        <f t="shared" si="0"/>
        <v>0.4709</v>
      </c>
      <c r="E10" s="127">
        <v>0.13647882225172</v>
      </c>
      <c r="F10" s="127"/>
      <c r="G10" s="56" t="s">
        <v>16</v>
      </c>
      <c r="H10" s="51">
        <v>8287</v>
      </c>
    </row>
    <row r="11" s="2" customFormat="1" ht="21.95" customHeight="1" spans="1:8">
      <c r="A11" s="55" t="s">
        <v>17</v>
      </c>
      <c r="B11" s="36">
        <v>5000</v>
      </c>
      <c r="C11" s="36">
        <v>4281</v>
      </c>
      <c r="D11" s="37">
        <f t="shared" si="0"/>
        <v>0.8562</v>
      </c>
      <c r="E11" s="127">
        <v>0.356034209692746</v>
      </c>
      <c r="F11" s="127"/>
      <c r="G11" s="56" t="s">
        <v>17</v>
      </c>
      <c r="H11" s="51">
        <v>3157</v>
      </c>
    </row>
    <row r="12" s="2" customFormat="1" ht="21.95" customHeight="1" spans="1:8">
      <c r="A12" s="55" t="s">
        <v>18</v>
      </c>
      <c r="B12" s="36">
        <v>5000</v>
      </c>
      <c r="C12" s="36">
        <v>2574</v>
      </c>
      <c r="D12" s="37">
        <f t="shared" si="0"/>
        <v>0.5148</v>
      </c>
      <c r="E12" s="127">
        <v>0.12303664921466</v>
      </c>
      <c r="F12" s="127"/>
      <c r="G12" s="56" t="s">
        <v>18</v>
      </c>
      <c r="H12" s="51">
        <v>2292</v>
      </c>
    </row>
    <row r="13" s="2" customFormat="1" ht="21.95" customHeight="1" spans="1:8">
      <c r="A13" s="55" t="s">
        <v>19</v>
      </c>
      <c r="B13" s="36">
        <v>20000</v>
      </c>
      <c r="C13" s="36">
        <v>12440</v>
      </c>
      <c r="D13" s="37">
        <f t="shared" si="0"/>
        <v>0.622</v>
      </c>
      <c r="E13" s="127">
        <v>0.136903673917017</v>
      </c>
      <c r="F13" s="127"/>
      <c r="G13" s="56" t="s">
        <v>19</v>
      </c>
      <c r="H13" s="51">
        <v>10942</v>
      </c>
    </row>
    <row r="14" s="2" customFormat="1" ht="21.95" customHeight="1" spans="1:8">
      <c r="A14" s="55" t="s">
        <v>20</v>
      </c>
      <c r="B14" s="36">
        <v>500</v>
      </c>
      <c r="C14" s="36">
        <v>272</v>
      </c>
      <c r="D14" s="37">
        <f t="shared" si="0"/>
        <v>0.544</v>
      </c>
      <c r="E14" s="127">
        <v>-0.15</v>
      </c>
      <c r="F14" s="127"/>
      <c r="G14" s="56" t="s">
        <v>1272</v>
      </c>
      <c r="H14" s="51">
        <v>320</v>
      </c>
    </row>
    <row r="15" s="2" customFormat="1" ht="21.95" customHeight="1" spans="1:8">
      <c r="A15" s="55" t="s">
        <v>21</v>
      </c>
      <c r="B15" s="36">
        <v>2000</v>
      </c>
      <c r="C15" s="36">
        <v>1373</v>
      </c>
      <c r="D15" s="37">
        <f t="shared" si="0"/>
        <v>0.6865</v>
      </c>
      <c r="E15" s="127">
        <v>0.186689714779602</v>
      </c>
      <c r="F15" s="127"/>
      <c r="G15" s="56" t="s">
        <v>1273</v>
      </c>
      <c r="H15" s="51">
        <v>1157</v>
      </c>
    </row>
    <row r="16" s="2" customFormat="1" ht="21.95" customHeight="1" spans="1:8">
      <c r="A16" s="55" t="s">
        <v>22</v>
      </c>
      <c r="B16" s="36">
        <v>4000</v>
      </c>
      <c r="C16" s="36">
        <v>1363</v>
      </c>
      <c r="D16" s="37">
        <f t="shared" si="0"/>
        <v>0.34075</v>
      </c>
      <c r="E16" s="127">
        <v>12.2330097087379</v>
      </c>
      <c r="F16" s="127"/>
      <c r="G16" s="56" t="s">
        <v>1274</v>
      </c>
      <c r="H16" s="51">
        <v>103</v>
      </c>
    </row>
    <row r="17" s="2" customFormat="1" ht="21.95" customHeight="1" spans="1:8">
      <c r="A17" s="55" t="s">
        <v>23</v>
      </c>
      <c r="B17" s="36">
        <v>2000</v>
      </c>
      <c r="C17" s="36">
        <v>1874</v>
      </c>
      <c r="D17" s="37">
        <f t="shared" si="0"/>
        <v>0.937</v>
      </c>
      <c r="E17" s="127">
        <v>6.64897959183673</v>
      </c>
      <c r="F17" s="127"/>
      <c r="G17" s="56" t="s">
        <v>1275</v>
      </c>
      <c r="H17" s="51">
        <v>245</v>
      </c>
    </row>
    <row r="18" s="2" customFormat="1" ht="21.95" customHeight="1" spans="1:8">
      <c r="A18" s="55" t="s">
        <v>1276</v>
      </c>
      <c r="B18" s="36">
        <v>7700</v>
      </c>
      <c r="C18" s="36">
        <v>794</v>
      </c>
      <c r="D18" s="37">
        <f t="shared" si="0"/>
        <v>0.103116883116883</v>
      </c>
      <c r="E18" s="127"/>
      <c r="F18" s="127"/>
      <c r="G18" s="129"/>
      <c r="H18" s="129"/>
    </row>
    <row r="19" s="2" customFormat="1" ht="21.95" customHeight="1" spans="1:8">
      <c r="A19" s="55" t="s">
        <v>24</v>
      </c>
      <c r="B19" s="36">
        <f>SUM(B20:B26)</f>
        <v>44855</v>
      </c>
      <c r="C19" s="36">
        <f>SUM(C20:C26)</f>
        <v>31157</v>
      </c>
      <c r="D19" s="37">
        <f t="shared" si="0"/>
        <v>0.69461598484004</v>
      </c>
      <c r="E19" s="127">
        <v>0.528352791131168</v>
      </c>
      <c r="F19" s="127"/>
      <c r="G19" s="56" t="s">
        <v>24</v>
      </c>
      <c r="H19" s="51">
        <f>SUM(H20:H26)</f>
        <v>20386</v>
      </c>
    </row>
    <row r="20" s="2" customFormat="1" ht="21.95" customHeight="1" spans="1:8">
      <c r="A20" s="55" t="s">
        <v>25</v>
      </c>
      <c r="B20" s="36">
        <v>16145</v>
      </c>
      <c r="C20" s="36">
        <v>8286</v>
      </c>
      <c r="D20" s="37">
        <f t="shared" si="0"/>
        <v>0.513223908330753</v>
      </c>
      <c r="E20" s="127">
        <v>0.111617923262678</v>
      </c>
      <c r="F20" s="127"/>
      <c r="G20" s="56" t="s">
        <v>25</v>
      </c>
      <c r="H20" s="51">
        <v>7454</v>
      </c>
    </row>
    <row r="21" s="2" customFormat="1" ht="21.95" customHeight="1" spans="1:8">
      <c r="A21" s="55" t="s">
        <v>1277</v>
      </c>
      <c r="B21" s="36">
        <v>1300</v>
      </c>
      <c r="C21" s="36">
        <v>3154</v>
      </c>
      <c r="D21" s="37">
        <f t="shared" si="0"/>
        <v>2.42615384615385</v>
      </c>
      <c r="E21" s="127">
        <v>0.0499334221038615</v>
      </c>
      <c r="F21" s="127"/>
      <c r="G21" s="56" t="s">
        <v>1277</v>
      </c>
      <c r="H21" s="51">
        <v>3004</v>
      </c>
    </row>
    <row r="22" s="2" customFormat="1" ht="21.95" customHeight="1" spans="1:8">
      <c r="A22" s="55" t="s">
        <v>27</v>
      </c>
      <c r="B22" s="36">
        <v>9000</v>
      </c>
      <c r="C22" s="36">
        <v>5934</v>
      </c>
      <c r="D22" s="37">
        <f t="shared" si="0"/>
        <v>0.659333333333333</v>
      </c>
      <c r="E22" s="127">
        <v>1.03010605542251</v>
      </c>
      <c r="F22" s="127"/>
      <c r="G22" s="56" t="s">
        <v>27</v>
      </c>
      <c r="H22" s="51">
        <v>2923</v>
      </c>
    </row>
    <row r="23" s="2" customFormat="1" ht="21.95" customHeight="1" spans="1:8">
      <c r="A23" s="55" t="s">
        <v>1278</v>
      </c>
      <c r="B23" s="36"/>
      <c r="C23" s="36"/>
      <c r="D23" s="37"/>
      <c r="E23" s="127"/>
      <c r="F23" s="127"/>
      <c r="G23" s="56" t="s">
        <v>1278</v>
      </c>
      <c r="H23" s="51"/>
    </row>
    <row r="24" s="2" customFormat="1" ht="21.95" customHeight="1" spans="1:8">
      <c r="A24" s="55" t="s">
        <v>1279</v>
      </c>
      <c r="B24" s="36">
        <v>10000</v>
      </c>
      <c r="C24" s="36">
        <v>11250</v>
      </c>
      <c r="D24" s="37">
        <f t="shared" si="0"/>
        <v>1.125</v>
      </c>
      <c r="E24" s="127">
        <v>1.22068693249112</v>
      </c>
      <c r="F24" s="127"/>
      <c r="G24" s="56" t="s">
        <v>1279</v>
      </c>
      <c r="H24" s="51">
        <v>5066</v>
      </c>
    </row>
    <row r="25" s="2" customFormat="1" ht="21.95" customHeight="1" spans="1:8">
      <c r="A25" s="55" t="s">
        <v>30</v>
      </c>
      <c r="B25" s="36">
        <v>1510</v>
      </c>
      <c r="C25" s="36">
        <v>539</v>
      </c>
      <c r="D25" s="37">
        <f t="shared" si="0"/>
        <v>0.356953642384106</v>
      </c>
      <c r="E25" s="127">
        <v>0.144373673036093</v>
      </c>
      <c r="F25" s="127"/>
      <c r="G25" s="130" t="s">
        <v>1280</v>
      </c>
      <c r="H25" s="131">
        <v>471</v>
      </c>
    </row>
    <row r="26" s="2" customFormat="1" ht="21.95" customHeight="1" spans="1:8">
      <c r="A26" s="55" t="s">
        <v>31</v>
      </c>
      <c r="B26" s="132">
        <v>6900</v>
      </c>
      <c r="C26" s="132">
        <v>1994</v>
      </c>
      <c r="D26" s="37">
        <f t="shared" si="0"/>
        <v>0.288985507246377</v>
      </c>
      <c r="E26" s="127">
        <v>0.358310626702997</v>
      </c>
      <c r="F26" s="127"/>
      <c r="G26" s="130" t="s">
        <v>1281</v>
      </c>
      <c r="H26" s="131">
        <v>1468</v>
      </c>
    </row>
    <row r="27" s="2" customFormat="1" ht="21.95" customHeight="1" spans="1:8">
      <c r="A27" s="133" t="s">
        <v>1282</v>
      </c>
      <c r="B27" s="134">
        <f>B4+B19</f>
        <v>280000</v>
      </c>
      <c r="C27" s="134">
        <f>C4+C19</f>
        <v>163023</v>
      </c>
      <c r="D27" s="37">
        <f t="shared" si="0"/>
        <v>0.582225</v>
      </c>
      <c r="E27" s="127">
        <v>0.52597536318706</v>
      </c>
      <c r="F27" s="127"/>
      <c r="G27" s="135" t="s">
        <v>1282</v>
      </c>
      <c r="H27" s="136">
        <v>106832</v>
      </c>
    </row>
  </sheetData>
  <mergeCells count="1">
    <mergeCell ref="A1:F1"/>
  </mergeCells>
  <printOptions horizontalCentered="1"/>
  <pageMargins left="0.786805555555556" right="0.786805555555556" top="0.786805555555556" bottom="0.707638888888889" header="0.15625" footer="0"/>
  <pageSetup paperSize="9" firstPageNumber="53" orientation="landscape" useFirstPageNumber="1"/>
  <headerFooter alignWithMargins="0">
    <evenFooter>&amp;C-2-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6"/>
  <sheetViews>
    <sheetView workbookViewId="0">
      <pane xSplit="1" ySplit="3" topLeftCell="B48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46.375" style="64" customWidth="1"/>
    <col min="2" max="2" width="11.75" style="64" customWidth="1"/>
    <col min="3" max="3" width="13.25" style="64" customWidth="1"/>
    <col min="4" max="4" width="13.5" style="64" customWidth="1"/>
    <col min="5" max="5" width="12.875" style="64" customWidth="1"/>
    <col min="6" max="6" width="18.25" style="65" customWidth="1"/>
    <col min="7" max="7" width="9" style="66"/>
    <col min="8" max="8" width="26.75" style="67" hidden="1" customWidth="1"/>
    <col min="9" max="9" width="9.25" style="68" hidden="1" customWidth="1"/>
    <col min="10" max="16384" width="9" style="64"/>
  </cols>
  <sheetData>
    <row r="1" s="63" customFormat="1" ht="39" customHeight="1" spans="1:9">
      <c r="A1" s="69" t="s">
        <v>1283</v>
      </c>
      <c r="B1" s="69"/>
      <c r="C1" s="69"/>
      <c r="D1" s="69"/>
      <c r="E1" s="69"/>
      <c r="F1" s="69"/>
      <c r="G1" s="66"/>
      <c r="H1" s="66"/>
      <c r="I1" s="66"/>
    </row>
    <row r="2" s="63" customFormat="1" ht="17.25" customHeight="1" spans="1:9">
      <c r="A2" s="70" t="s">
        <v>1284</v>
      </c>
      <c r="B2" s="70"/>
      <c r="C2" s="70"/>
      <c r="D2" s="70"/>
      <c r="E2" s="70"/>
      <c r="F2" s="71" t="s">
        <v>2</v>
      </c>
      <c r="G2" s="66"/>
      <c r="H2" s="66"/>
      <c r="I2" s="66"/>
    </row>
    <row r="3" s="63" customFormat="1" ht="39" customHeight="1" spans="1:9">
      <c r="A3" s="72" t="s">
        <v>679</v>
      </c>
      <c r="B3" s="72" t="s">
        <v>1268</v>
      </c>
      <c r="C3" s="73" t="s">
        <v>1285</v>
      </c>
      <c r="D3" s="73" t="s">
        <v>1286</v>
      </c>
      <c r="E3" s="73" t="s">
        <v>1287</v>
      </c>
      <c r="F3" s="72" t="s">
        <v>1288</v>
      </c>
      <c r="G3" s="66"/>
      <c r="H3" s="66"/>
      <c r="I3" s="66"/>
    </row>
    <row r="4" spans="1:9">
      <c r="A4" s="74" t="s">
        <v>62</v>
      </c>
      <c r="B4" s="75">
        <f>SUM(B5,B8,B11,B17,B21,B25,B29,B28,B33,B34,B38,B43,B46,B47,B49,B53,B55,B58,B60,B63,B65,B69,B72,B77,B81,B84,B85,)</f>
        <v>30772</v>
      </c>
      <c r="C4" s="75">
        <f>SUM(C5,C8,C11,C17,C21,C25,C29,C28,C33,C34,C38,C43,C46,C47,C49,C53,C55,C58,C60,C63,C65,C69,C72,C77,C81,C84,C85,)</f>
        <v>14064</v>
      </c>
      <c r="D4" s="76">
        <f>C4/B4</f>
        <v>0.457038866502015</v>
      </c>
      <c r="E4" s="77">
        <f>(C4-I4)/I4</f>
        <v>0.228296943231441</v>
      </c>
      <c r="F4" s="78"/>
      <c r="H4" s="79" t="s">
        <v>62</v>
      </c>
      <c r="I4" s="93">
        <v>11450</v>
      </c>
    </row>
    <row r="5" spans="1:9">
      <c r="A5" s="80" t="s">
        <v>112</v>
      </c>
      <c r="B5" s="81">
        <f>SUM(B6:B7)</f>
        <v>651</v>
      </c>
      <c r="C5" s="81">
        <f>SUM(C6:C7)</f>
        <v>159</v>
      </c>
      <c r="D5" s="82">
        <f t="shared" ref="D5:D67" si="0">C5/B5</f>
        <v>0.244239631336406</v>
      </c>
      <c r="E5" s="83">
        <f t="shared" ref="E5:E67" si="1">(C5-I5)/I5</f>
        <v>-0.283783783783784</v>
      </c>
      <c r="F5" s="84"/>
      <c r="H5" s="85" t="s">
        <v>112</v>
      </c>
      <c r="I5" s="94">
        <v>222</v>
      </c>
    </row>
    <row r="6" spans="1:9">
      <c r="A6" s="80" t="s">
        <v>152</v>
      </c>
      <c r="B6" s="81">
        <v>600</v>
      </c>
      <c r="C6" s="81">
        <v>140</v>
      </c>
      <c r="D6" s="82">
        <f t="shared" si="0"/>
        <v>0.233333333333333</v>
      </c>
      <c r="E6" s="83">
        <f t="shared" si="1"/>
        <v>-0.306930693069307</v>
      </c>
      <c r="F6" s="84"/>
      <c r="H6" s="85" t="s">
        <v>1289</v>
      </c>
      <c r="I6" s="94">
        <v>202</v>
      </c>
    </row>
    <row r="7" spans="1:9">
      <c r="A7" s="80" t="s">
        <v>119</v>
      </c>
      <c r="B7" s="81">
        <v>51</v>
      </c>
      <c r="C7" s="81">
        <v>19</v>
      </c>
      <c r="D7" s="82">
        <f t="shared" si="0"/>
        <v>0.372549019607843</v>
      </c>
      <c r="E7" s="83">
        <f t="shared" si="1"/>
        <v>-0.05</v>
      </c>
      <c r="F7" s="84"/>
      <c r="H7" s="85" t="s">
        <v>1290</v>
      </c>
      <c r="I7" s="94">
        <v>20</v>
      </c>
    </row>
    <row r="8" spans="1:9">
      <c r="A8" s="80" t="s">
        <v>117</v>
      </c>
      <c r="B8" s="81">
        <f>SUM(B9:B10)</f>
        <v>397</v>
      </c>
      <c r="C8" s="81">
        <f>SUM(C9:C10)</f>
        <v>152</v>
      </c>
      <c r="D8" s="82">
        <f t="shared" si="0"/>
        <v>0.382871536523929</v>
      </c>
      <c r="E8" s="83">
        <f t="shared" si="1"/>
        <v>-0.0193548387096774</v>
      </c>
      <c r="F8" s="84"/>
      <c r="H8" s="85" t="s">
        <v>117</v>
      </c>
      <c r="I8" s="94">
        <v>155</v>
      </c>
    </row>
    <row r="9" spans="1:9">
      <c r="A9" s="80" t="s">
        <v>152</v>
      </c>
      <c r="B9" s="81">
        <v>331</v>
      </c>
      <c r="C9" s="81">
        <v>125</v>
      </c>
      <c r="D9" s="82">
        <f t="shared" si="0"/>
        <v>0.377643504531722</v>
      </c>
      <c r="E9" s="83">
        <f t="shared" si="1"/>
        <v>-0.0384615384615385</v>
      </c>
      <c r="F9" s="84"/>
      <c r="H9" s="85" t="s">
        <v>1289</v>
      </c>
      <c r="I9" s="94">
        <v>130</v>
      </c>
    </row>
    <row r="10" spans="1:9">
      <c r="A10" s="80" t="s">
        <v>119</v>
      </c>
      <c r="B10" s="81">
        <v>66</v>
      </c>
      <c r="C10" s="81">
        <v>27</v>
      </c>
      <c r="D10" s="82">
        <f t="shared" si="0"/>
        <v>0.409090909090909</v>
      </c>
      <c r="E10" s="83">
        <f t="shared" si="1"/>
        <v>0.08</v>
      </c>
      <c r="F10" s="84"/>
      <c r="H10" s="85" t="s">
        <v>1290</v>
      </c>
      <c r="I10" s="94">
        <v>25</v>
      </c>
    </row>
    <row r="11" spans="1:9">
      <c r="A11" s="80" t="s">
        <v>120</v>
      </c>
      <c r="B11" s="81">
        <f>SUM(B12:B16)</f>
        <v>18711</v>
      </c>
      <c r="C11" s="81">
        <f>SUM(C12:C16)</f>
        <v>8100</v>
      </c>
      <c r="D11" s="82">
        <f t="shared" si="0"/>
        <v>0.432900432900433</v>
      </c>
      <c r="E11" s="83">
        <f t="shared" si="1"/>
        <v>0.167651722646677</v>
      </c>
      <c r="F11" s="84"/>
      <c r="H11" s="85" t="s">
        <v>120</v>
      </c>
      <c r="I11" s="94">
        <v>6937</v>
      </c>
    </row>
    <row r="12" spans="1:9">
      <c r="A12" s="80" t="s">
        <v>152</v>
      </c>
      <c r="B12" s="81">
        <v>7950</v>
      </c>
      <c r="C12" s="81">
        <v>3188</v>
      </c>
      <c r="D12" s="82">
        <f t="shared" si="0"/>
        <v>0.401006289308176</v>
      </c>
      <c r="E12" s="83">
        <f t="shared" si="1"/>
        <v>0.234701781564679</v>
      </c>
      <c r="F12" s="84"/>
      <c r="H12" s="85" t="s">
        <v>152</v>
      </c>
      <c r="I12" s="94">
        <v>2582</v>
      </c>
    </row>
    <row r="13" spans="1:9">
      <c r="A13" s="80" t="s">
        <v>176</v>
      </c>
      <c r="B13" s="81"/>
      <c r="C13" s="81"/>
      <c r="D13" s="82"/>
      <c r="E13" s="83"/>
      <c r="F13" s="84"/>
      <c r="H13" s="85" t="s">
        <v>176</v>
      </c>
      <c r="I13" s="94"/>
    </row>
    <row r="14" spans="1:9">
      <c r="A14" s="80" t="s">
        <v>1291</v>
      </c>
      <c r="B14" s="81">
        <v>4244</v>
      </c>
      <c r="C14" s="81">
        <v>2119</v>
      </c>
      <c r="D14" s="82">
        <f t="shared" si="0"/>
        <v>0.499293119698398</v>
      </c>
      <c r="E14" s="83">
        <f t="shared" si="1"/>
        <v>0.175915649278579</v>
      </c>
      <c r="F14" s="84"/>
      <c r="H14" s="85" t="s">
        <v>1292</v>
      </c>
      <c r="I14" s="94">
        <v>1802</v>
      </c>
    </row>
    <row r="15" spans="1:9">
      <c r="A15" s="80" t="s">
        <v>119</v>
      </c>
      <c r="B15" s="81">
        <f>6488-21</f>
        <v>6467</v>
      </c>
      <c r="C15" s="81">
        <v>2793</v>
      </c>
      <c r="D15" s="82">
        <f t="shared" si="0"/>
        <v>0.431884954383795</v>
      </c>
      <c r="E15" s="83">
        <f t="shared" si="1"/>
        <v>0.0940070505287897</v>
      </c>
      <c r="F15" s="84"/>
      <c r="H15" s="85" t="s">
        <v>119</v>
      </c>
      <c r="I15" s="94">
        <v>2553</v>
      </c>
    </row>
    <row r="16" ht="15" customHeight="1" spans="1:9">
      <c r="A16" s="80" t="s">
        <v>125</v>
      </c>
      <c r="B16" s="81">
        <v>50</v>
      </c>
      <c r="C16" s="81"/>
      <c r="D16" s="82">
        <f t="shared" si="0"/>
        <v>0</v>
      </c>
      <c r="E16" s="83"/>
      <c r="F16" s="84"/>
      <c r="H16" s="85"/>
      <c r="I16" s="94"/>
    </row>
    <row r="17" spans="1:9">
      <c r="A17" s="80" t="s">
        <v>126</v>
      </c>
      <c r="B17" s="81">
        <f>SUM(B18:B20)</f>
        <v>961</v>
      </c>
      <c r="C17" s="81">
        <f>SUM(C18:C20)</f>
        <v>462</v>
      </c>
      <c r="D17" s="82">
        <f t="shared" si="0"/>
        <v>0.480749219562955</v>
      </c>
      <c r="E17" s="83">
        <f t="shared" si="1"/>
        <v>0.135135135135135</v>
      </c>
      <c r="F17" s="84"/>
      <c r="H17" s="85" t="s">
        <v>126</v>
      </c>
      <c r="I17" s="94">
        <v>407</v>
      </c>
    </row>
    <row r="18" spans="1:9">
      <c r="A18" s="80" t="s">
        <v>152</v>
      </c>
      <c r="B18" s="81">
        <v>266</v>
      </c>
      <c r="C18" s="81">
        <v>107</v>
      </c>
      <c r="D18" s="82">
        <f t="shared" si="0"/>
        <v>0.402255639097744</v>
      </c>
      <c r="E18" s="83">
        <f t="shared" si="1"/>
        <v>0.16304347826087</v>
      </c>
      <c r="F18" s="84"/>
      <c r="H18" s="85" t="s">
        <v>152</v>
      </c>
      <c r="I18" s="94">
        <v>92</v>
      </c>
    </row>
    <row r="19" spans="1:9">
      <c r="A19" s="80" t="s">
        <v>128</v>
      </c>
      <c r="B19" s="81">
        <v>359</v>
      </c>
      <c r="C19" s="81">
        <v>172</v>
      </c>
      <c r="D19" s="82">
        <f t="shared" si="0"/>
        <v>0.479108635097493</v>
      </c>
      <c r="E19" s="83">
        <f t="shared" si="1"/>
        <v>0.00584795321637427</v>
      </c>
      <c r="F19" s="84"/>
      <c r="H19" s="85" t="s">
        <v>1293</v>
      </c>
      <c r="I19" s="94">
        <v>171</v>
      </c>
    </row>
    <row r="20" ht="15" customHeight="1" spans="1:9">
      <c r="A20" s="80" t="s">
        <v>119</v>
      </c>
      <c r="B20" s="81">
        <v>336</v>
      </c>
      <c r="C20" s="81">
        <v>183</v>
      </c>
      <c r="D20" s="82">
        <f t="shared" si="0"/>
        <v>0.544642857142857</v>
      </c>
      <c r="E20" s="83">
        <f t="shared" si="1"/>
        <v>0.270833333333333</v>
      </c>
      <c r="F20" s="84"/>
      <c r="H20" s="85" t="s">
        <v>119</v>
      </c>
      <c r="I20" s="94">
        <v>144</v>
      </c>
    </row>
    <row r="21" spans="1:9">
      <c r="A21" s="86" t="s">
        <v>130</v>
      </c>
      <c r="B21" s="81">
        <f>SUM(B22:B24)</f>
        <v>749</v>
      </c>
      <c r="C21" s="81">
        <f>SUM(C22:C24)</f>
        <v>363</v>
      </c>
      <c r="D21" s="82">
        <f t="shared" si="0"/>
        <v>0.484646194926569</v>
      </c>
      <c r="E21" s="83">
        <f t="shared" si="1"/>
        <v>0.152380952380952</v>
      </c>
      <c r="F21" s="84"/>
      <c r="H21" s="87" t="s">
        <v>130</v>
      </c>
      <c r="I21" s="94">
        <v>315</v>
      </c>
    </row>
    <row r="22" spans="1:9">
      <c r="A22" s="86" t="s">
        <v>152</v>
      </c>
      <c r="B22" s="81">
        <v>110</v>
      </c>
      <c r="C22" s="81">
        <v>72</v>
      </c>
      <c r="D22" s="82">
        <f t="shared" si="0"/>
        <v>0.654545454545455</v>
      </c>
      <c r="E22" s="83">
        <f t="shared" si="1"/>
        <v>0.0588235294117647</v>
      </c>
      <c r="F22" s="84"/>
      <c r="H22" s="87" t="s">
        <v>152</v>
      </c>
      <c r="I22" s="94">
        <v>68</v>
      </c>
    </row>
    <row r="23" spans="1:9">
      <c r="A23" s="86" t="s">
        <v>1294</v>
      </c>
      <c r="B23" s="81">
        <v>15</v>
      </c>
      <c r="C23" s="81"/>
      <c r="D23" s="82">
        <f t="shared" si="0"/>
        <v>0</v>
      </c>
      <c r="E23" s="83">
        <f t="shared" si="1"/>
        <v>-1</v>
      </c>
      <c r="F23" s="84"/>
      <c r="H23" s="88" t="s">
        <v>1294</v>
      </c>
      <c r="I23" s="94">
        <v>17</v>
      </c>
    </row>
    <row r="24" spans="1:9">
      <c r="A24" s="86" t="s">
        <v>119</v>
      </c>
      <c r="B24" s="81">
        <v>624</v>
      </c>
      <c r="C24" s="81">
        <v>291</v>
      </c>
      <c r="D24" s="82">
        <f t="shared" si="0"/>
        <v>0.466346153846154</v>
      </c>
      <c r="E24" s="83">
        <f t="shared" si="1"/>
        <v>0.265217391304348</v>
      </c>
      <c r="F24" s="84"/>
      <c r="H24" s="87" t="s">
        <v>119</v>
      </c>
      <c r="I24" s="94">
        <v>230</v>
      </c>
    </row>
    <row r="25" spans="1:9">
      <c r="A25" s="80" t="s">
        <v>133</v>
      </c>
      <c r="B25" s="81">
        <f>SUM(B26:B27)</f>
        <v>1251</v>
      </c>
      <c r="C25" s="81">
        <f>SUM(C26:C27)</f>
        <v>580</v>
      </c>
      <c r="D25" s="82">
        <f t="shared" si="0"/>
        <v>0.463629096722622</v>
      </c>
      <c r="E25" s="83">
        <f t="shared" si="1"/>
        <v>0.0881801125703565</v>
      </c>
      <c r="F25" s="84"/>
      <c r="H25" s="85" t="s">
        <v>133</v>
      </c>
      <c r="I25" s="94">
        <v>533</v>
      </c>
    </row>
    <row r="26" spans="1:9">
      <c r="A26" s="80" t="s">
        <v>152</v>
      </c>
      <c r="B26" s="81">
        <v>415</v>
      </c>
      <c r="C26" s="81">
        <v>196</v>
      </c>
      <c r="D26" s="82">
        <f t="shared" si="0"/>
        <v>0.472289156626506</v>
      </c>
      <c r="E26" s="83">
        <f t="shared" si="1"/>
        <v>0.0261780104712042</v>
      </c>
      <c r="F26" s="84"/>
      <c r="H26" s="85" t="s">
        <v>152</v>
      </c>
      <c r="I26" s="94">
        <v>191</v>
      </c>
    </row>
    <row r="27" spans="1:9">
      <c r="A27" s="80" t="s">
        <v>119</v>
      </c>
      <c r="B27" s="81">
        <v>836</v>
      </c>
      <c r="C27" s="81">
        <v>384</v>
      </c>
      <c r="D27" s="82">
        <f t="shared" si="0"/>
        <v>0.45933014354067</v>
      </c>
      <c r="E27" s="83">
        <f t="shared" si="1"/>
        <v>0.12280701754386</v>
      </c>
      <c r="F27" s="84"/>
      <c r="H27" s="85" t="s">
        <v>119</v>
      </c>
      <c r="I27" s="94">
        <v>342</v>
      </c>
    </row>
    <row r="28" spans="1:9">
      <c r="A28" s="80" t="s">
        <v>137</v>
      </c>
      <c r="B28" s="81">
        <v>600</v>
      </c>
      <c r="C28" s="81">
        <v>647</v>
      </c>
      <c r="D28" s="82">
        <f t="shared" si="0"/>
        <v>1.07833333333333</v>
      </c>
      <c r="E28" s="83"/>
      <c r="F28" s="84"/>
      <c r="H28" s="85" t="s">
        <v>137</v>
      </c>
      <c r="I28" s="94"/>
    </row>
    <row r="29" spans="1:9">
      <c r="A29" s="86" t="s">
        <v>139</v>
      </c>
      <c r="B29" s="81">
        <f>SUM(B30:B32)</f>
        <v>321</v>
      </c>
      <c r="C29" s="81">
        <f>SUM(C30:C32)</f>
        <v>148</v>
      </c>
      <c r="D29" s="82">
        <f t="shared" si="0"/>
        <v>0.461059190031153</v>
      </c>
      <c r="E29" s="83">
        <f t="shared" si="1"/>
        <v>-0.168539325842697</v>
      </c>
      <c r="F29" s="84"/>
      <c r="H29" s="87" t="s">
        <v>139</v>
      </c>
      <c r="I29" s="94">
        <v>178</v>
      </c>
    </row>
    <row r="30" spans="1:9">
      <c r="A30" s="80" t="s">
        <v>152</v>
      </c>
      <c r="B30" s="81">
        <v>136</v>
      </c>
      <c r="C30" s="81">
        <v>70</v>
      </c>
      <c r="D30" s="82">
        <f t="shared" si="0"/>
        <v>0.514705882352941</v>
      </c>
      <c r="E30" s="83">
        <f t="shared" si="1"/>
        <v>-0.333333333333333</v>
      </c>
      <c r="F30" s="84"/>
      <c r="H30" s="85" t="s">
        <v>152</v>
      </c>
      <c r="I30" s="94">
        <v>105</v>
      </c>
    </row>
    <row r="31" spans="1:9">
      <c r="A31" s="80" t="s">
        <v>176</v>
      </c>
      <c r="B31" s="81">
        <v>1</v>
      </c>
      <c r="C31" s="81"/>
      <c r="D31" s="82">
        <f t="shared" si="0"/>
        <v>0</v>
      </c>
      <c r="E31" s="83">
        <f t="shared" si="1"/>
        <v>-1</v>
      </c>
      <c r="F31" s="84"/>
      <c r="H31" s="85" t="s">
        <v>176</v>
      </c>
      <c r="I31" s="94">
        <v>11</v>
      </c>
    </row>
    <row r="32" spans="1:9">
      <c r="A32" s="80" t="s">
        <v>119</v>
      </c>
      <c r="B32" s="81">
        <v>184</v>
      </c>
      <c r="C32" s="81">
        <v>78</v>
      </c>
      <c r="D32" s="82">
        <f t="shared" si="0"/>
        <v>0.423913043478261</v>
      </c>
      <c r="E32" s="83">
        <f t="shared" si="1"/>
        <v>0.258064516129032</v>
      </c>
      <c r="F32" s="84"/>
      <c r="H32" s="85" t="s">
        <v>119</v>
      </c>
      <c r="I32" s="94">
        <v>62</v>
      </c>
    </row>
    <row r="33" spans="1:9">
      <c r="A33" s="80" t="s">
        <v>143</v>
      </c>
      <c r="B33" s="81"/>
      <c r="C33" s="81"/>
      <c r="D33" s="82"/>
      <c r="E33" s="83"/>
      <c r="F33" s="84"/>
      <c r="H33" s="85" t="s">
        <v>143</v>
      </c>
      <c r="I33" s="94"/>
    </row>
    <row r="34" spans="1:9">
      <c r="A34" s="86" t="s">
        <v>144</v>
      </c>
      <c r="B34" s="81">
        <f>SUM(B35:B37)</f>
        <v>102</v>
      </c>
      <c r="C34" s="81">
        <f>SUM(C35:C37)</f>
        <v>105</v>
      </c>
      <c r="D34" s="82">
        <f t="shared" si="0"/>
        <v>1.02941176470588</v>
      </c>
      <c r="E34" s="83">
        <f t="shared" si="1"/>
        <v>2.18181818181818</v>
      </c>
      <c r="F34" s="84"/>
      <c r="H34" s="87" t="s">
        <v>144</v>
      </c>
      <c r="I34" s="94">
        <v>33</v>
      </c>
    </row>
    <row r="35" spans="1:9">
      <c r="A35" s="86" t="s">
        <v>152</v>
      </c>
      <c r="B35" s="81"/>
      <c r="C35" s="81"/>
      <c r="D35" s="82"/>
      <c r="E35" s="83"/>
      <c r="F35" s="84"/>
      <c r="H35" s="87" t="s">
        <v>152</v>
      </c>
      <c r="I35" s="94"/>
    </row>
    <row r="36" spans="1:9">
      <c r="A36" s="86" t="s">
        <v>119</v>
      </c>
      <c r="B36" s="81">
        <v>102</v>
      </c>
      <c r="C36" s="81">
        <v>58</v>
      </c>
      <c r="D36" s="82">
        <f t="shared" si="0"/>
        <v>0.568627450980392</v>
      </c>
      <c r="E36" s="83">
        <f t="shared" si="1"/>
        <v>0.757575757575758</v>
      </c>
      <c r="F36" s="84"/>
      <c r="H36" s="87" t="s">
        <v>119</v>
      </c>
      <c r="I36" s="94">
        <v>33</v>
      </c>
    </row>
    <row r="37" spans="1:9">
      <c r="A37" s="86" t="s">
        <v>1295</v>
      </c>
      <c r="B37" s="81"/>
      <c r="C37" s="81">
        <v>47</v>
      </c>
      <c r="D37" s="82"/>
      <c r="E37" s="83"/>
      <c r="F37" s="84"/>
      <c r="H37" s="87"/>
      <c r="I37" s="94"/>
    </row>
    <row r="38" spans="1:9">
      <c r="A38" s="89" t="s">
        <v>147</v>
      </c>
      <c r="B38" s="81">
        <f>SUM(B39:B42)</f>
        <v>1166</v>
      </c>
      <c r="C38" s="81">
        <f>SUM(C39:C42)</f>
        <v>527</v>
      </c>
      <c r="D38" s="82">
        <f t="shared" si="0"/>
        <v>0.451972555746141</v>
      </c>
      <c r="E38" s="83">
        <f t="shared" si="1"/>
        <v>0.518731988472622</v>
      </c>
      <c r="F38" s="84"/>
      <c r="H38" s="90" t="s">
        <v>147</v>
      </c>
      <c r="I38" s="94">
        <v>347</v>
      </c>
    </row>
    <row r="39" spans="1:9">
      <c r="A39" s="89" t="s">
        <v>152</v>
      </c>
      <c r="B39" s="81">
        <v>644</v>
      </c>
      <c r="C39" s="81">
        <v>325</v>
      </c>
      <c r="D39" s="82">
        <f t="shared" si="0"/>
        <v>0.504658385093168</v>
      </c>
      <c r="E39" s="83">
        <f t="shared" si="1"/>
        <v>0.438053097345133</v>
      </c>
      <c r="F39" s="84"/>
      <c r="H39" s="90" t="s">
        <v>152</v>
      </c>
      <c r="I39" s="94">
        <v>226</v>
      </c>
    </row>
    <row r="40" spans="1:9">
      <c r="A40" s="89" t="s">
        <v>149</v>
      </c>
      <c r="B40" s="81">
        <v>267</v>
      </c>
      <c r="C40" s="81">
        <v>107</v>
      </c>
      <c r="D40" s="82">
        <f t="shared" si="0"/>
        <v>0.400749063670412</v>
      </c>
      <c r="E40" s="83">
        <f t="shared" si="1"/>
        <v>2.05714285714286</v>
      </c>
      <c r="F40" s="84"/>
      <c r="H40" s="90" t="s">
        <v>1296</v>
      </c>
      <c r="I40" s="94">
        <v>35</v>
      </c>
    </row>
    <row r="41" spans="1:9">
      <c r="A41" s="89" t="s">
        <v>119</v>
      </c>
      <c r="B41" s="81">
        <v>207</v>
      </c>
      <c r="C41" s="81">
        <v>82</v>
      </c>
      <c r="D41" s="82">
        <f t="shared" si="0"/>
        <v>0.396135265700483</v>
      </c>
      <c r="E41" s="83">
        <f t="shared" si="1"/>
        <v>-0.0238095238095238</v>
      </c>
      <c r="F41" s="84"/>
      <c r="H41" s="90" t="s">
        <v>119</v>
      </c>
      <c r="I41" s="94">
        <v>84</v>
      </c>
    </row>
    <row r="42" spans="1:9">
      <c r="A42" s="89" t="s">
        <v>150</v>
      </c>
      <c r="B42" s="81">
        <v>48</v>
      </c>
      <c r="C42" s="81">
        <v>13</v>
      </c>
      <c r="D42" s="82">
        <f t="shared" si="0"/>
        <v>0.270833333333333</v>
      </c>
      <c r="E42" s="83">
        <f t="shared" si="1"/>
        <v>5.5</v>
      </c>
      <c r="F42" s="84"/>
      <c r="H42" s="91" t="s">
        <v>150</v>
      </c>
      <c r="I42" s="94">
        <v>2</v>
      </c>
    </row>
    <row r="43" spans="1:9">
      <c r="A43" s="89" t="s">
        <v>151</v>
      </c>
      <c r="B43" s="81">
        <f>SUM(B44:B45)</f>
        <v>174</v>
      </c>
      <c r="C43" s="81">
        <f>SUM(C44:C45)</f>
        <v>62</v>
      </c>
      <c r="D43" s="82">
        <f t="shared" si="0"/>
        <v>0.35632183908046</v>
      </c>
      <c r="E43" s="83">
        <f t="shared" si="1"/>
        <v>-0.0606060606060606</v>
      </c>
      <c r="F43" s="84"/>
      <c r="H43" s="90" t="s">
        <v>151</v>
      </c>
      <c r="I43" s="94">
        <v>66</v>
      </c>
    </row>
    <row r="44" spans="1:9">
      <c r="A44" s="89" t="s">
        <v>152</v>
      </c>
      <c r="B44" s="81">
        <v>126</v>
      </c>
      <c r="C44" s="81">
        <v>48</v>
      </c>
      <c r="D44" s="82">
        <f t="shared" si="0"/>
        <v>0.380952380952381</v>
      </c>
      <c r="E44" s="83">
        <f t="shared" si="1"/>
        <v>0.0212765957446809</v>
      </c>
      <c r="F44" s="84"/>
      <c r="H44" s="90" t="s">
        <v>1289</v>
      </c>
      <c r="I44" s="94">
        <v>47</v>
      </c>
    </row>
    <row r="45" spans="1:9">
      <c r="A45" s="89" t="s">
        <v>119</v>
      </c>
      <c r="B45" s="81">
        <v>48</v>
      </c>
      <c r="C45" s="81">
        <v>14</v>
      </c>
      <c r="D45" s="82">
        <f t="shared" si="0"/>
        <v>0.291666666666667</v>
      </c>
      <c r="E45" s="83">
        <f t="shared" si="1"/>
        <v>-0.263157894736842</v>
      </c>
      <c r="F45" s="84"/>
      <c r="H45" s="90" t="s">
        <v>119</v>
      </c>
      <c r="I45" s="94">
        <v>19</v>
      </c>
    </row>
    <row r="46" spans="1:9">
      <c r="A46" s="86" t="s">
        <v>153</v>
      </c>
      <c r="B46" s="81"/>
      <c r="C46" s="81"/>
      <c r="D46" s="82"/>
      <c r="E46" s="83"/>
      <c r="F46" s="84"/>
      <c r="H46" s="87" t="s">
        <v>153</v>
      </c>
      <c r="I46" s="94"/>
    </row>
    <row r="47" spans="1:9">
      <c r="A47" s="86" t="s">
        <v>154</v>
      </c>
      <c r="B47" s="81"/>
      <c r="C47" s="81"/>
      <c r="D47" s="82"/>
      <c r="E47" s="83"/>
      <c r="F47" s="84"/>
      <c r="H47" s="87" t="s">
        <v>154</v>
      </c>
      <c r="I47" s="94"/>
    </row>
    <row r="48" spans="1:9">
      <c r="A48" s="86" t="s">
        <v>1297</v>
      </c>
      <c r="B48" s="81"/>
      <c r="C48" s="81"/>
      <c r="D48" s="82"/>
      <c r="E48" s="83"/>
      <c r="F48" s="84"/>
      <c r="H48" s="87" t="s">
        <v>1298</v>
      </c>
      <c r="I48" s="94"/>
    </row>
    <row r="49" spans="1:9">
      <c r="A49" s="80" t="s">
        <v>157</v>
      </c>
      <c r="B49" s="81">
        <f>SUM(B50:B52)</f>
        <v>1562</v>
      </c>
      <c r="C49" s="81">
        <f>SUM(C50:C52)</f>
        <v>864</v>
      </c>
      <c r="D49" s="82">
        <f t="shared" si="0"/>
        <v>0.553137003841229</v>
      </c>
      <c r="E49" s="83">
        <f t="shared" si="1"/>
        <v>0.358490566037736</v>
      </c>
      <c r="F49" s="84"/>
      <c r="H49" s="85" t="s">
        <v>157</v>
      </c>
      <c r="I49" s="94">
        <v>636</v>
      </c>
    </row>
    <row r="50" spans="1:9">
      <c r="A50" s="80" t="s">
        <v>152</v>
      </c>
      <c r="B50" s="81">
        <v>928</v>
      </c>
      <c r="C50" s="81">
        <v>615</v>
      </c>
      <c r="D50" s="82">
        <f t="shared" si="0"/>
        <v>0.662715517241379</v>
      </c>
      <c r="E50" s="83">
        <f t="shared" si="1"/>
        <v>0.5</v>
      </c>
      <c r="F50" s="84"/>
      <c r="H50" s="85" t="s">
        <v>1299</v>
      </c>
      <c r="I50" s="94">
        <v>410</v>
      </c>
    </row>
    <row r="51" spans="1:9">
      <c r="A51" s="80" t="s">
        <v>119</v>
      </c>
      <c r="B51" s="81">
        <v>634</v>
      </c>
      <c r="C51" s="81">
        <v>249</v>
      </c>
      <c r="D51" s="82">
        <f t="shared" si="0"/>
        <v>0.392744479495268</v>
      </c>
      <c r="E51" s="83">
        <f t="shared" si="1"/>
        <v>0.101769911504425</v>
      </c>
      <c r="F51" s="84"/>
      <c r="H51" s="85" t="s">
        <v>1290</v>
      </c>
      <c r="I51" s="94">
        <v>226</v>
      </c>
    </row>
    <row r="52" spans="1:9">
      <c r="A52" s="80" t="s">
        <v>1300</v>
      </c>
      <c r="B52" s="81"/>
      <c r="C52" s="81"/>
      <c r="D52" s="82"/>
      <c r="E52" s="83"/>
      <c r="F52" s="84"/>
      <c r="H52" s="85" t="s">
        <v>1301</v>
      </c>
      <c r="I52" s="94"/>
    </row>
    <row r="53" spans="1:9">
      <c r="A53" s="80" t="s">
        <v>161</v>
      </c>
      <c r="B53" s="81"/>
      <c r="C53" s="81"/>
      <c r="D53" s="82"/>
      <c r="E53" s="83"/>
      <c r="F53" s="84"/>
      <c r="H53" s="92" t="s">
        <v>161</v>
      </c>
      <c r="I53" s="95"/>
    </row>
    <row r="54" spans="1:9">
      <c r="A54" s="80" t="s">
        <v>119</v>
      </c>
      <c r="B54" s="81"/>
      <c r="C54" s="81"/>
      <c r="D54" s="82"/>
      <c r="E54" s="83"/>
      <c r="F54" s="84"/>
      <c r="H54" s="92" t="s">
        <v>119</v>
      </c>
      <c r="I54" s="95"/>
    </row>
    <row r="55" spans="1:9">
      <c r="A55" s="80" t="s">
        <v>162</v>
      </c>
      <c r="B55" s="81">
        <f>SUM(B56:B57)</f>
        <v>23</v>
      </c>
      <c r="C55" s="81">
        <f>SUM(C56:C57)</f>
        <v>12</v>
      </c>
      <c r="D55" s="82">
        <f t="shared" si="0"/>
        <v>0.521739130434783</v>
      </c>
      <c r="E55" s="83">
        <f t="shared" si="1"/>
        <v>1</v>
      </c>
      <c r="F55" s="84"/>
      <c r="H55" s="85" t="s">
        <v>162</v>
      </c>
      <c r="I55" s="94">
        <v>6</v>
      </c>
    </row>
    <row r="56" spans="1:9">
      <c r="A56" s="80" t="s">
        <v>119</v>
      </c>
      <c r="B56" s="81">
        <v>23</v>
      </c>
      <c r="C56" s="81">
        <v>12</v>
      </c>
      <c r="D56" s="82">
        <f t="shared" si="0"/>
        <v>0.521739130434783</v>
      </c>
      <c r="E56" s="83">
        <f t="shared" si="1"/>
        <v>1</v>
      </c>
      <c r="F56" s="84"/>
      <c r="H56" s="85" t="s">
        <v>1290</v>
      </c>
      <c r="I56" s="94">
        <v>6</v>
      </c>
    </row>
    <row r="57" spans="1:9">
      <c r="A57" s="80" t="s">
        <v>164</v>
      </c>
      <c r="B57" s="81"/>
      <c r="C57" s="81"/>
      <c r="D57" s="82"/>
      <c r="E57" s="83"/>
      <c r="F57" s="84"/>
      <c r="H57" s="85" t="s">
        <v>1302</v>
      </c>
      <c r="I57" s="94"/>
    </row>
    <row r="58" spans="1:9">
      <c r="A58" s="80" t="s">
        <v>165</v>
      </c>
      <c r="B58" s="81">
        <f>SUM(B59)</f>
        <v>74</v>
      </c>
      <c r="C58" s="81">
        <f>SUM(C59)</f>
        <v>32</v>
      </c>
      <c r="D58" s="82">
        <f t="shared" si="0"/>
        <v>0.432432432432432</v>
      </c>
      <c r="E58" s="83">
        <f t="shared" si="1"/>
        <v>0.230769230769231</v>
      </c>
      <c r="F58" s="84"/>
      <c r="H58" s="85" t="s">
        <v>165</v>
      </c>
      <c r="I58" s="94">
        <v>26</v>
      </c>
    </row>
    <row r="59" spans="1:9">
      <c r="A59" s="80" t="s">
        <v>119</v>
      </c>
      <c r="B59" s="81">
        <v>74</v>
      </c>
      <c r="C59" s="81">
        <v>32</v>
      </c>
      <c r="D59" s="82">
        <f t="shared" si="0"/>
        <v>0.432432432432432</v>
      </c>
      <c r="E59" s="83">
        <f t="shared" si="1"/>
        <v>0.230769230769231</v>
      </c>
      <c r="F59" s="84"/>
      <c r="H59" s="85" t="s">
        <v>119</v>
      </c>
      <c r="I59" s="94">
        <v>26</v>
      </c>
    </row>
    <row r="60" spans="1:9">
      <c r="A60" s="86" t="s">
        <v>167</v>
      </c>
      <c r="B60" s="81">
        <f>SUM(B61,B62)</f>
        <v>166</v>
      </c>
      <c r="C60" s="81">
        <f>SUM(C61,C62)</f>
        <v>79</v>
      </c>
      <c r="D60" s="82">
        <f t="shared" si="0"/>
        <v>0.475903614457831</v>
      </c>
      <c r="E60" s="83">
        <f t="shared" si="1"/>
        <v>0.295081967213115</v>
      </c>
      <c r="F60" s="84"/>
      <c r="H60" s="87" t="s">
        <v>167</v>
      </c>
      <c r="I60" s="94">
        <v>61</v>
      </c>
    </row>
    <row r="61" spans="1:9">
      <c r="A61" s="86" t="s">
        <v>152</v>
      </c>
      <c r="B61" s="81">
        <v>156</v>
      </c>
      <c r="C61" s="81">
        <v>77</v>
      </c>
      <c r="D61" s="82">
        <f t="shared" si="0"/>
        <v>0.493589743589744</v>
      </c>
      <c r="E61" s="83">
        <f t="shared" si="1"/>
        <v>0.262295081967213</v>
      </c>
      <c r="F61" s="84"/>
      <c r="H61" s="87" t="s">
        <v>1289</v>
      </c>
      <c r="I61" s="94">
        <v>61</v>
      </c>
    </row>
    <row r="62" spans="1:9">
      <c r="A62" s="86" t="s">
        <v>1303</v>
      </c>
      <c r="B62" s="81">
        <v>10</v>
      </c>
      <c r="C62" s="81">
        <v>2</v>
      </c>
      <c r="D62" s="82">
        <f t="shared" si="0"/>
        <v>0.2</v>
      </c>
      <c r="E62" s="83"/>
      <c r="F62" s="84"/>
      <c r="H62" s="87"/>
      <c r="I62" s="94"/>
    </row>
    <row r="63" spans="1:9">
      <c r="A63" s="86" t="s">
        <v>169</v>
      </c>
      <c r="B63" s="81">
        <f>SUM(B64)</f>
        <v>78</v>
      </c>
      <c r="C63" s="81">
        <f>SUM(C64)</f>
        <v>39</v>
      </c>
      <c r="D63" s="82">
        <f t="shared" si="0"/>
        <v>0.5</v>
      </c>
      <c r="E63" s="83">
        <f t="shared" si="1"/>
        <v>0.0540540540540541</v>
      </c>
      <c r="F63" s="84"/>
      <c r="H63" s="87" t="s">
        <v>169</v>
      </c>
      <c r="I63" s="94">
        <v>37</v>
      </c>
    </row>
    <row r="64" spans="1:9">
      <c r="A64" s="86" t="s">
        <v>152</v>
      </c>
      <c r="B64" s="81">
        <v>78</v>
      </c>
      <c r="C64" s="81">
        <v>39</v>
      </c>
      <c r="D64" s="82">
        <f t="shared" si="0"/>
        <v>0.5</v>
      </c>
      <c r="E64" s="83">
        <f t="shared" si="1"/>
        <v>0.0540540540540541</v>
      </c>
      <c r="F64" s="84"/>
      <c r="H64" s="87" t="s">
        <v>152</v>
      </c>
      <c r="I64" s="94">
        <v>37</v>
      </c>
    </row>
    <row r="65" spans="1:9">
      <c r="A65" s="86" t="s">
        <v>170</v>
      </c>
      <c r="B65" s="81">
        <f>SUM(B66:B68)</f>
        <v>769</v>
      </c>
      <c r="C65" s="81">
        <f>SUM(C66:C68)</f>
        <v>452</v>
      </c>
      <c r="D65" s="82">
        <f t="shared" si="0"/>
        <v>0.58777633289987</v>
      </c>
      <c r="E65" s="83">
        <f t="shared" si="1"/>
        <v>1.09259259259259</v>
      </c>
      <c r="F65" s="84"/>
      <c r="H65" s="87" t="s">
        <v>170</v>
      </c>
      <c r="I65" s="94">
        <v>216</v>
      </c>
    </row>
    <row r="66" spans="1:9">
      <c r="A66" s="86" t="s">
        <v>152</v>
      </c>
      <c r="B66" s="81">
        <v>711</v>
      </c>
      <c r="C66" s="81">
        <v>426</v>
      </c>
      <c r="D66" s="82">
        <f t="shared" si="0"/>
        <v>0.59915611814346</v>
      </c>
      <c r="E66" s="83">
        <f t="shared" si="1"/>
        <v>1.20725388601036</v>
      </c>
      <c r="F66" s="84"/>
      <c r="H66" s="87" t="s">
        <v>152</v>
      </c>
      <c r="I66" s="94">
        <v>193</v>
      </c>
    </row>
    <row r="67" spans="1:9">
      <c r="A67" s="86" t="s">
        <v>119</v>
      </c>
      <c r="B67" s="81">
        <v>58</v>
      </c>
      <c r="C67" s="81">
        <v>26</v>
      </c>
      <c r="D67" s="82">
        <f t="shared" si="0"/>
        <v>0.448275862068966</v>
      </c>
      <c r="E67" s="83">
        <f t="shared" si="1"/>
        <v>0.130434782608696</v>
      </c>
      <c r="F67" s="84"/>
      <c r="H67" s="87" t="s">
        <v>119</v>
      </c>
      <c r="I67" s="94">
        <v>23</v>
      </c>
    </row>
    <row r="68" spans="1:9">
      <c r="A68" s="86" t="s">
        <v>1304</v>
      </c>
      <c r="B68" s="81"/>
      <c r="C68" s="81"/>
      <c r="D68" s="82"/>
      <c r="E68" s="83"/>
      <c r="F68" s="84"/>
      <c r="H68" s="87" t="s">
        <v>1305</v>
      </c>
      <c r="I68" s="94"/>
    </row>
    <row r="69" ht="15" customHeight="1" spans="1:9">
      <c r="A69" s="86" t="s">
        <v>175</v>
      </c>
      <c r="B69" s="81">
        <f>SUM(B70:B71)</f>
        <v>1588</v>
      </c>
      <c r="C69" s="81">
        <f>SUM(C70:C71)</f>
        <v>643</v>
      </c>
      <c r="D69" s="82">
        <f t="shared" ref="D69:D132" si="2">C69/B69</f>
        <v>0.404911838790932</v>
      </c>
      <c r="E69" s="83">
        <f t="shared" ref="E69:E132" si="3">(C69-I69)/I69</f>
        <v>0.114384748700173</v>
      </c>
      <c r="F69" s="84"/>
      <c r="H69" s="87" t="s">
        <v>175</v>
      </c>
      <c r="I69" s="94">
        <v>577</v>
      </c>
    </row>
    <row r="70" spans="1:9">
      <c r="A70" s="86" t="s">
        <v>152</v>
      </c>
      <c r="B70" s="81">
        <v>1004</v>
      </c>
      <c r="C70" s="81">
        <v>402</v>
      </c>
      <c r="D70" s="82">
        <f t="shared" si="2"/>
        <v>0.400398406374502</v>
      </c>
      <c r="E70" s="83">
        <f t="shared" si="3"/>
        <v>0.0578947368421053</v>
      </c>
      <c r="F70" s="84"/>
      <c r="H70" s="87" t="s">
        <v>152</v>
      </c>
      <c r="I70" s="94">
        <v>380</v>
      </c>
    </row>
    <row r="71" spans="1:9">
      <c r="A71" s="86" t="s">
        <v>119</v>
      </c>
      <c r="B71" s="81">
        <v>584</v>
      </c>
      <c r="C71" s="81">
        <v>241</v>
      </c>
      <c r="D71" s="82">
        <f t="shared" si="2"/>
        <v>0.412671232876712</v>
      </c>
      <c r="E71" s="83">
        <f t="shared" si="3"/>
        <v>0.223350253807107</v>
      </c>
      <c r="F71" s="84"/>
      <c r="H71" s="87" t="s">
        <v>119</v>
      </c>
      <c r="I71" s="94">
        <v>197</v>
      </c>
    </row>
    <row r="72" spans="1:9">
      <c r="A72" s="86" t="s">
        <v>177</v>
      </c>
      <c r="B72" s="81">
        <f>SUM(B73:B76)</f>
        <v>535</v>
      </c>
      <c r="C72" s="81">
        <f>SUM(C73:C76)</f>
        <v>215</v>
      </c>
      <c r="D72" s="82">
        <f t="shared" si="2"/>
        <v>0.401869158878505</v>
      </c>
      <c r="E72" s="83">
        <f t="shared" si="3"/>
        <v>0.201117318435754</v>
      </c>
      <c r="F72" s="84"/>
      <c r="H72" s="87" t="s">
        <v>177</v>
      </c>
      <c r="I72" s="94">
        <v>179</v>
      </c>
    </row>
    <row r="73" spans="1:9">
      <c r="A73" s="86" t="s">
        <v>152</v>
      </c>
      <c r="B73" s="81">
        <v>292</v>
      </c>
      <c r="C73" s="81">
        <v>108</v>
      </c>
      <c r="D73" s="82">
        <f t="shared" si="2"/>
        <v>0.36986301369863</v>
      </c>
      <c r="E73" s="83">
        <f t="shared" si="3"/>
        <v>0.35</v>
      </c>
      <c r="F73" s="84"/>
      <c r="H73" s="87" t="s">
        <v>152</v>
      </c>
      <c r="I73" s="94">
        <v>80</v>
      </c>
    </row>
    <row r="74" spans="1:9">
      <c r="A74" s="86" t="s">
        <v>176</v>
      </c>
      <c r="B74" s="81">
        <v>12</v>
      </c>
      <c r="C74" s="81">
        <v>11</v>
      </c>
      <c r="D74" s="82">
        <f t="shared" si="2"/>
        <v>0.916666666666667</v>
      </c>
      <c r="E74" s="83"/>
      <c r="F74" s="84"/>
      <c r="H74" s="87" t="s">
        <v>176</v>
      </c>
      <c r="I74" s="94"/>
    </row>
    <row r="75" spans="1:9">
      <c r="A75" s="86" t="s">
        <v>119</v>
      </c>
      <c r="B75" s="81">
        <v>196</v>
      </c>
      <c r="C75" s="81">
        <v>86</v>
      </c>
      <c r="D75" s="82">
        <f t="shared" si="2"/>
        <v>0.438775510204082</v>
      </c>
      <c r="E75" s="83">
        <f t="shared" si="3"/>
        <v>-0.131313131313131</v>
      </c>
      <c r="F75" s="84"/>
      <c r="H75" s="87" t="s">
        <v>1306</v>
      </c>
      <c r="I75" s="94">
        <v>99</v>
      </c>
    </row>
    <row r="76" spans="1:9">
      <c r="A76" s="86" t="s">
        <v>1307</v>
      </c>
      <c r="B76" s="81">
        <v>35</v>
      </c>
      <c r="C76" s="81">
        <v>10</v>
      </c>
      <c r="D76" s="82">
        <f t="shared" si="2"/>
        <v>0.285714285714286</v>
      </c>
      <c r="E76" s="83"/>
      <c r="F76" s="84"/>
      <c r="H76" s="87" t="s">
        <v>1308</v>
      </c>
      <c r="I76" s="94"/>
    </row>
    <row r="77" spans="1:9">
      <c r="A77" s="86" t="s">
        <v>182</v>
      </c>
      <c r="B77" s="81">
        <f>SUM(B78:B80)</f>
        <v>744</v>
      </c>
      <c r="C77" s="81">
        <v>384</v>
      </c>
      <c r="D77" s="82">
        <f t="shared" si="2"/>
        <v>0.516129032258065</v>
      </c>
      <c r="E77" s="83">
        <f t="shared" si="3"/>
        <v>0.72972972972973</v>
      </c>
      <c r="F77" s="84"/>
      <c r="H77" s="87" t="s">
        <v>182</v>
      </c>
      <c r="I77" s="94">
        <v>222</v>
      </c>
    </row>
    <row r="78" spans="1:9">
      <c r="A78" s="86" t="s">
        <v>152</v>
      </c>
      <c r="B78" s="81">
        <v>461</v>
      </c>
      <c r="C78" s="81">
        <v>277</v>
      </c>
      <c r="D78" s="82">
        <f t="shared" si="2"/>
        <v>0.600867678958785</v>
      </c>
      <c r="E78" s="83">
        <f t="shared" si="3"/>
        <v>0.937062937062937</v>
      </c>
      <c r="F78" s="84"/>
      <c r="H78" s="87" t="s">
        <v>152</v>
      </c>
      <c r="I78" s="94">
        <v>143</v>
      </c>
    </row>
    <row r="79" spans="1:9">
      <c r="A79" s="86" t="s">
        <v>119</v>
      </c>
      <c r="B79" s="81">
        <v>233</v>
      </c>
      <c r="C79" s="81">
        <v>107</v>
      </c>
      <c r="D79" s="82">
        <f t="shared" si="2"/>
        <v>0.459227467811159</v>
      </c>
      <c r="E79" s="83">
        <f t="shared" si="3"/>
        <v>0.354430379746835</v>
      </c>
      <c r="F79" s="84"/>
      <c r="H79" s="87" t="s">
        <v>119</v>
      </c>
      <c r="I79" s="94">
        <v>79</v>
      </c>
    </row>
    <row r="80" spans="1:9">
      <c r="A80" s="86" t="s">
        <v>1309</v>
      </c>
      <c r="B80" s="81">
        <v>50</v>
      </c>
      <c r="C80" s="81"/>
      <c r="D80" s="82">
        <f t="shared" si="2"/>
        <v>0</v>
      </c>
      <c r="E80" s="83"/>
      <c r="F80" s="84"/>
      <c r="H80" s="87"/>
      <c r="I80" s="94"/>
    </row>
    <row r="81" spans="1:9">
      <c r="A81" s="86" t="s">
        <v>186</v>
      </c>
      <c r="B81" s="81">
        <f>SUM(B82:B83)</f>
        <v>103</v>
      </c>
      <c r="C81" s="81">
        <f>SUM(C82:C83)</f>
        <v>39</v>
      </c>
      <c r="D81" s="82">
        <f t="shared" si="2"/>
        <v>0.378640776699029</v>
      </c>
      <c r="E81" s="83">
        <f t="shared" si="3"/>
        <v>-0.170212765957447</v>
      </c>
      <c r="F81" s="84"/>
      <c r="H81" s="87" t="s">
        <v>186</v>
      </c>
      <c r="I81" s="94">
        <v>47</v>
      </c>
    </row>
    <row r="82" spans="1:9">
      <c r="A82" s="86" t="s">
        <v>152</v>
      </c>
      <c r="B82" s="81">
        <v>68</v>
      </c>
      <c r="C82" s="81">
        <v>26</v>
      </c>
      <c r="D82" s="82">
        <f t="shared" si="2"/>
        <v>0.382352941176471</v>
      </c>
      <c r="E82" s="83">
        <f t="shared" si="3"/>
        <v>-0.235294117647059</v>
      </c>
      <c r="F82" s="84"/>
      <c r="H82" s="87" t="s">
        <v>152</v>
      </c>
      <c r="I82" s="94">
        <v>34</v>
      </c>
    </row>
    <row r="83" spans="1:9">
      <c r="A83" s="86" t="s">
        <v>119</v>
      </c>
      <c r="B83" s="81">
        <v>35</v>
      </c>
      <c r="C83" s="81">
        <v>13</v>
      </c>
      <c r="D83" s="82">
        <f t="shared" si="2"/>
        <v>0.371428571428571</v>
      </c>
      <c r="E83" s="83">
        <f t="shared" si="3"/>
        <v>0</v>
      </c>
      <c r="F83" s="84"/>
      <c r="H83" s="87" t="s">
        <v>119</v>
      </c>
      <c r="I83" s="94">
        <v>13</v>
      </c>
    </row>
    <row r="84" spans="1:9">
      <c r="A84" s="86" t="s">
        <v>189</v>
      </c>
      <c r="B84" s="81"/>
      <c r="C84" s="81"/>
      <c r="D84" s="82"/>
      <c r="E84" s="83">
        <f t="shared" si="3"/>
        <v>-1</v>
      </c>
      <c r="F84" s="84"/>
      <c r="H84" s="87" t="s">
        <v>189</v>
      </c>
      <c r="I84" s="94">
        <v>33</v>
      </c>
    </row>
    <row r="85" spans="1:9">
      <c r="A85" s="86" t="s">
        <v>191</v>
      </c>
      <c r="B85" s="96">
        <v>47</v>
      </c>
      <c r="C85" s="96"/>
      <c r="D85" s="82">
        <f t="shared" si="2"/>
        <v>0</v>
      </c>
      <c r="E85" s="83">
        <f t="shared" si="3"/>
        <v>-1</v>
      </c>
      <c r="F85" s="84"/>
      <c r="H85" s="87" t="s">
        <v>191</v>
      </c>
      <c r="I85" s="52">
        <v>217</v>
      </c>
    </row>
    <row r="86" spans="1:9">
      <c r="A86" s="86" t="s">
        <v>1310</v>
      </c>
      <c r="B86" s="96">
        <v>47</v>
      </c>
      <c r="C86" s="96"/>
      <c r="D86" s="82">
        <f t="shared" si="2"/>
        <v>0</v>
      </c>
      <c r="E86" s="83">
        <f t="shared" si="3"/>
        <v>-1</v>
      </c>
      <c r="F86" s="84"/>
      <c r="H86" s="87" t="s">
        <v>1311</v>
      </c>
      <c r="I86" s="52">
        <v>217</v>
      </c>
    </row>
    <row r="87" spans="1:9">
      <c r="A87" s="97" t="s">
        <v>1312</v>
      </c>
      <c r="B87" s="96"/>
      <c r="C87" s="96"/>
      <c r="D87" s="82"/>
      <c r="E87" s="83"/>
      <c r="F87" s="84"/>
      <c r="H87" s="98" t="s">
        <v>1312</v>
      </c>
      <c r="I87" s="52"/>
    </row>
    <row r="88" spans="1:9">
      <c r="A88" s="80" t="s">
        <v>193</v>
      </c>
      <c r="B88" s="96"/>
      <c r="C88" s="96"/>
      <c r="D88" s="82"/>
      <c r="E88" s="83"/>
      <c r="F88" s="84"/>
      <c r="H88" s="85" t="s">
        <v>193</v>
      </c>
      <c r="I88" s="52"/>
    </row>
    <row r="89" spans="1:9">
      <c r="A89" s="80" t="s">
        <v>194</v>
      </c>
      <c r="B89" s="96"/>
      <c r="C89" s="96"/>
      <c r="D89" s="82"/>
      <c r="E89" s="83"/>
      <c r="F89" s="84"/>
      <c r="H89" s="85" t="s">
        <v>194</v>
      </c>
      <c r="I89" s="52"/>
    </row>
    <row r="90" spans="1:9">
      <c r="A90" s="97" t="s">
        <v>1313</v>
      </c>
      <c r="B90" s="96">
        <f>SUM(B91,B92)</f>
        <v>192</v>
      </c>
      <c r="C90" s="96">
        <f>SUM(C91,C92)</f>
        <v>123</v>
      </c>
      <c r="D90" s="82">
        <f t="shared" si="2"/>
        <v>0.640625</v>
      </c>
      <c r="E90" s="83">
        <f t="shared" si="3"/>
        <v>2.15384615384615</v>
      </c>
      <c r="F90" s="84"/>
      <c r="H90" s="98" t="s">
        <v>1313</v>
      </c>
      <c r="I90" s="52">
        <v>39</v>
      </c>
    </row>
    <row r="91" spans="1:9">
      <c r="A91" s="86" t="s">
        <v>195</v>
      </c>
      <c r="B91" s="81"/>
      <c r="C91" s="81"/>
      <c r="D91" s="82"/>
      <c r="E91" s="83"/>
      <c r="F91" s="84"/>
      <c r="H91" s="87" t="s">
        <v>195</v>
      </c>
      <c r="I91" s="94"/>
    </row>
    <row r="92" spans="1:9">
      <c r="A92" s="86" t="s">
        <v>196</v>
      </c>
      <c r="B92" s="81">
        <f>SUM(B93)</f>
        <v>192</v>
      </c>
      <c r="C92" s="81">
        <v>123</v>
      </c>
      <c r="D92" s="82">
        <f t="shared" si="2"/>
        <v>0.640625</v>
      </c>
      <c r="E92" s="83">
        <f t="shared" si="3"/>
        <v>2.15384615384615</v>
      </c>
      <c r="F92" s="84"/>
      <c r="H92" s="87" t="s">
        <v>196</v>
      </c>
      <c r="I92" s="94">
        <v>39</v>
      </c>
    </row>
    <row r="93" spans="1:9">
      <c r="A93" s="86" t="s">
        <v>1314</v>
      </c>
      <c r="B93" s="81">
        <v>192</v>
      </c>
      <c r="C93" s="81">
        <v>123</v>
      </c>
      <c r="D93" s="82">
        <f t="shared" si="2"/>
        <v>0.640625</v>
      </c>
      <c r="E93" s="83">
        <f t="shared" si="3"/>
        <v>2.15384615384615</v>
      </c>
      <c r="F93" s="84"/>
      <c r="H93" s="87" t="s">
        <v>1315</v>
      </c>
      <c r="I93" s="94">
        <v>39</v>
      </c>
    </row>
    <row r="94" spans="1:9">
      <c r="A94" s="99" t="s">
        <v>1316</v>
      </c>
      <c r="B94" s="96">
        <f>SUM(B95,B98,B106,B107,B111,B115,B120,B121,B122,B123,B124,)</f>
        <v>15357</v>
      </c>
      <c r="C94" s="96">
        <f>SUM(C95,C98,C106,C107,C111,C115,C120,C121,C122,C123,C124,)</f>
        <v>6099</v>
      </c>
      <c r="D94" s="82">
        <f t="shared" si="2"/>
        <v>0.3971478804454</v>
      </c>
      <c r="E94" s="83">
        <f t="shared" si="3"/>
        <v>0.280764384712306</v>
      </c>
      <c r="F94" s="84"/>
      <c r="H94" s="100" t="s">
        <v>1316</v>
      </c>
      <c r="I94" s="52">
        <v>4762</v>
      </c>
    </row>
    <row r="95" spans="1:9">
      <c r="A95" s="80" t="s">
        <v>198</v>
      </c>
      <c r="B95" s="81">
        <f>SUM(B96:B97)</f>
        <v>636</v>
      </c>
      <c r="C95" s="81">
        <f>SUM(C96:C97)</f>
        <v>314</v>
      </c>
      <c r="D95" s="82">
        <f t="shared" si="2"/>
        <v>0.493710691823899</v>
      </c>
      <c r="E95" s="83">
        <f t="shared" si="3"/>
        <v>0.725274725274725</v>
      </c>
      <c r="F95" s="84"/>
      <c r="H95" s="85" t="s">
        <v>198</v>
      </c>
      <c r="I95" s="94">
        <v>182</v>
      </c>
    </row>
    <row r="96" spans="1:9">
      <c r="A96" s="80" t="s">
        <v>199</v>
      </c>
      <c r="B96" s="81">
        <v>13</v>
      </c>
      <c r="C96" s="81">
        <v>6</v>
      </c>
      <c r="D96" s="82">
        <f t="shared" si="2"/>
        <v>0.461538461538462</v>
      </c>
      <c r="E96" s="83">
        <f t="shared" si="3"/>
        <v>0</v>
      </c>
      <c r="F96" s="84"/>
      <c r="H96" s="85" t="s">
        <v>1317</v>
      </c>
      <c r="I96" s="94">
        <v>6</v>
      </c>
    </row>
    <row r="97" spans="1:9">
      <c r="A97" s="80" t="s">
        <v>200</v>
      </c>
      <c r="B97" s="81">
        <v>623</v>
      </c>
      <c r="C97" s="81">
        <v>308</v>
      </c>
      <c r="D97" s="82">
        <f t="shared" si="2"/>
        <v>0.49438202247191</v>
      </c>
      <c r="E97" s="83">
        <f t="shared" si="3"/>
        <v>0.75</v>
      </c>
      <c r="F97" s="84"/>
      <c r="H97" s="85" t="s">
        <v>1318</v>
      </c>
      <c r="I97" s="94">
        <v>176</v>
      </c>
    </row>
    <row r="98" spans="1:9">
      <c r="A98" s="86" t="s">
        <v>201</v>
      </c>
      <c r="B98" s="81">
        <f>SUM(B99:B105)</f>
        <v>13396</v>
      </c>
      <c r="C98" s="81">
        <f>SUM(C99:C105)</f>
        <v>5215</v>
      </c>
      <c r="D98" s="82">
        <f t="shared" si="2"/>
        <v>0.389295312033443</v>
      </c>
      <c r="E98" s="83">
        <f t="shared" si="3"/>
        <v>0.254208754208754</v>
      </c>
      <c r="F98" s="84"/>
      <c r="H98" s="87" t="s">
        <v>201</v>
      </c>
      <c r="I98" s="94">
        <v>4158</v>
      </c>
    </row>
    <row r="99" spans="1:9">
      <c r="A99" s="86" t="s">
        <v>152</v>
      </c>
      <c r="B99" s="81">
        <v>5812</v>
      </c>
      <c r="C99" s="81">
        <v>2446</v>
      </c>
      <c r="D99" s="82">
        <f t="shared" si="2"/>
        <v>0.420853406744666</v>
      </c>
      <c r="E99" s="83">
        <f t="shared" si="3"/>
        <v>0.126151012891344</v>
      </c>
      <c r="F99" s="84"/>
      <c r="H99" s="87" t="s">
        <v>152</v>
      </c>
      <c r="I99" s="94">
        <v>2172</v>
      </c>
    </row>
    <row r="100" spans="1:9">
      <c r="A100" s="86" t="s">
        <v>176</v>
      </c>
      <c r="B100" s="81">
        <v>670</v>
      </c>
      <c r="C100" s="81">
        <v>456</v>
      </c>
      <c r="D100" s="82">
        <f t="shared" si="2"/>
        <v>0.680597014925373</v>
      </c>
      <c r="E100" s="83">
        <f t="shared" si="3"/>
        <v>0.142857142857143</v>
      </c>
      <c r="F100" s="84"/>
      <c r="H100" s="87" t="s">
        <v>1319</v>
      </c>
      <c r="I100" s="94">
        <v>399</v>
      </c>
    </row>
    <row r="101" spans="1:9">
      <c r="A101" s="86" t="s">
        <v>1320</v>
      </c>
      <c r="B101" s="81">
        <v>5</v>
      </c>
      <c r="C101" s="81"/>
      <c r="D101" s="82">
        <f t="shared" si="2"/>
        <v>0</v>
      </c>
      <c r="E101" s="83">
        <f t="shared" si="3"/>
        <v>-1</v>
      </c>
      <c r="F101" s="84"/>
      <c r="H101" s="87" t="s">
        <v>1321</v>
      </c>
      <c r="I101" s="94">
        <v>2</v>
      </c>
    </row>
    <row r="102" spans="1:9">
      <c r="A102" s="86" t="s">
        <v>206</v>
      </c>
      <c r="B102" s="81">
        <v>4256</v>
      </c>
      <c r="C102" s="81">
        <v>1363</v>
      </c>
      <c r="D102" s="82">
        <f t="shared" si="2"/>
        <v>0.320253759398496</v>
      </c>
      <c r="E102" s="83">
        <f t="shared" si="3"/>
        <v>1.24177631578947</v>
      </c>
      <c r="F102" s="84"/>
      <c r="H102" s="87" t="s">
        <v>1322</v>
      </c>
      <c r="I102" s="94">
        <v>608</v>
      </c>
    </row>
    <row r="103" spans="1:9">
      <c r="A103" s="86" t="s">
        <v>1323</v>
      </c>
      <c r="B103" s="81">
        <v>359</v>
      </c>
      <c r="C103" s="81">
        <v>121</v>
      </c>
      <c r="D103" s="82">
        <f t="shared" si="2"/>
        <v>0.337047353760446</v>
      </c>
      <c r="E103" s="83">
        <f t="shared" si="3"/>
        <v>-0.0763358778625954</v>
      </c>
      <c r="F103" s="84"/>
      <c r="H103" s="87" t="s">
        <v>1324</v>
      </c>
      <c r="I103" s="94">
        <v>131</v>
      </c>
    </row>
    <row r="104" spans="1:9">
      <c r="A104" s="86" t="s">
        <v>119</v>
      </c>
      <c r="B104" s="81">
        <v>2288</v>
      </c>
      <c r="C104" s="81">
        <v>823</v>
      </c>
      <c r="D104" s="82">
        <f t="shared" si="2"/>
        <v>0.359702797202797</v>
      </c>
      <c r="E104" s="83">
        <f t="shared" si="3"/>
        <v>-0.0271867612293144</v>
      </c>
      <c r="F104" s="84"/>
      <c r="H104" s="87" t="s">
        <v>1306</v>
      </c>
      <c r="I104" s="94">
        <v>846</v>
      </c>
    </row>
    <row r="105" spans="1:9">
      <c r="A105" s="86" t="s">
        <v>1325</v>
      </c>
      <c r="B105" s="81">
        <v>6</v>
      </c>
      <c r="C105" s="81">
        <v>6</v>
      </c>
      <c r="D105" s="82">
        <f t="shared" si="2"/>
        <v>1</v>
      </c>
      <c r="E105" s="83"/>
      <c r="F105" s="84"/>
      <c r="H105" s="87"/>
      <c r="I105" s="94"/>
    </row>
    <row r="106" spans="1:9">
      <c r="A106" s="80" t="s">
        <v>209</v>
      </c>
      <c r="B106" s="81"/>
      <c r="C106" s="81"/>
      <c r="D106" s="82"/>
      <c r="E106" s="83"/>
      <c r="F106" s="84"/>
      <c r="H106" s="85" t="s">
        <v>209</v>
      </c>
      <c r="I106" s="94"/>
    </row>
    <row r="107" spans="1:9">
      <c r="A107" s="80" t="s">
        <v>210</v>
      </c>
      <c r="B107" s="81">
        <f>SUM(B108:B110)</f>
        <v>56</v>
      </c>
      <c r="C107" s="81">
        <f>SUM(C108:C110)</f>
        <v>56</v>
      </c>
      <c r="D107" s="82">
        <f t="shared" si="2"/>
        <v>1</v>
      </c>
      <c r="E107" s="83"/>
      <c r="F107" s="84"/>
      <c r="H107" s="85" t="s">
        <v>210</v>
      </c>
      <c r="I107" s="94"/>
    </row>
    <row r="108" spans="1:9">
      <c r="A108" s="80" t="s">
        <v>152</v>
      </c>
      <c r="B108" s="81">
        <v>52</v>
      </c>
      <c r="C108" s="81">
        <v>52</v>
      </c>
      <c r="D108" s="82">
        <f t="shared" si="2"/>
        <v>1</v>
      </c>
      <c r="E108" s="83"/>
      <c r="F108" s="84"/>
      <c r="H108" s="85" t="s">
        <v>152</v>
      </c>
      <c r="I108" s="94"/>
    </row>
    <row r="109" spans="1:9">
      <c r="A109" s="80" t="s">
        <v>1326</v>
      </c>
      <c r="B109" s="81"/>
      <c r="C109" s="81"/>
      <c r="D109" s="82"/>
      <c r="E109" s="83"/>
      <c r="F109" s="84"/>
      <c r="H109" s="85" t="s">
        <v>1327</v>
      </c>
      <c r="I109" s="94"/>
    </row>
    <row r="110" spans="1:9">
      <c r="A110" s="80" t="s">
        <v>119</v>
      </c>
      <c r="B110" s="81">
        <v>4</v>
      </c>
      <c r="C110" s="81">
        <v>4</v>
      </c>
      <c r="D110" s="82">
        <f t="shared" si="2"/>
        <v>1</v>
      </c>
      <c r="E110" s="83"/>
      <c r="F110" s="84"/>
      <c r="H110" s="85" t="s">
        <v>119</v>
      </c>
      <c r="I110" s="94"/>
    </row>
    <row r="111" spans="1:9">
      <c r="A111" s="89" t="s">
        <v>213</v>
      </c>
      <c r="B111" s="81">
        <f>SUM(B112:B114)</f>
        <v>57</v>
      </c>
      <c r="C111" s="81">
        <f>SUM(C112:C114)</f>
        <v>0</v>
      </c>
      <c r="D111" s="82">
        <f t="shared" si="2"/>
        <v>0</v>
      </c>
      <c r="E111" s="83"/>
      <c r="F111" s="84"/>
      <c r="H111" s="90" t="s">
        <v>213</v>
      </c>
      <c r="I111" s="94"/>
    </row>
    <row r="112" spans="1:9">
      <c r="A112" s="89" t="s">
        <v>152</v>
      </c>
      <c r="B112" s="81">
        <v>52</v>
      </c>
      <c r="C112" s="81"/>
      <c r="D112" s="82">
        <f t="shared" si="2"/>
        <v>0</v>
      </c>
      <c r="E112" s="83"/>
      <c r="F112" s="84"/>
      <c r="H112" s="90" t="s">
        <v>152</v>
      </c>
      <c r="I112" s="94"/>
    </row>
    <row r="113" spans="1:9">
      <c r="A113" s="80" t="s">
        <v>1326</v>
      </c>
      <c r="B113" s="81"/>
      <c r="C113" s="81"/>
      <c r="D113" s="82"/>
      <c r="E113" s="83"/>
      <c r="F113" s="84"/>
      <c r="H113" s="85" t="s">
        <v>1327</v>
      </c>
      <c r="I113" s="94"/>
    </row>
    <row r="114" spans="1:9">
      <c r="A114" s="80" t="s">
        <v>119</v>
      </c>
      <c r="B114" s="81">
        <v>5</v>
      </c>
      <c r="C114" s="81"/>
      <c r="D114" s="82">
        <f t="shared" si="2"/>
        <v>0</v>
      </c>
      <c r="E114" s="83"/>
      <c r="F114" s="84"/>
      <c r="H114" s="85" t="s">
        <v>119</v>
      </c>
      <c r="I114" s="94"/>
    </row>
    <row r="115" spans="1:9">
      <c r="A115" s="80" t="s">
        <v>216</v>
      </c>
      <c r="B115" s="81">
        <f>SUM(B116:B119)</f>
        <v>712</v>
      </c>
      <c r="C115" s="81">
        <v>359</v>
      </c>
      <c r="D115" s="82">
        <f t="shared" si="2"/>
        <v>0.504213483146067</v>
      </c>
      <c r="E115" s="83">
        <f t="shared" si="3"/>
        <v>0.386100386100386</v>
      </c>
      <c r="F115" s="84"/>
      <c r="H115" s="85" t="s">
        <v>216</v>
      </c>
      <c r="I115" s="94">
        <v>259</v>
      </c>
    </row>
    <row r="116" spans="1:9">
      <c r="A116" s="89" t="s">
        <v>152</v>
      </c>
      <c r="B116" s="81">
        <v>402</v>
      </c>
      <c r="C116" s="81">
        <v>217</v>
      </c>
      <c r="D116" s="82">
        <f t="shared" si="2"/>
        <v>0.539800995024876</v>
      </c>
      <c r="E116" s="83">
        <f t="shared" si="3"/>
        <v>0.631578947368421</v>
      </c>
      <c r="F116" s="84"/>
      <c r="H116" s="90" t="s">
        <v>152</v>
      </c>
      <c r="I116" s="94">
        <v>133</v>
      </c>
    </row>
    <row r="117" spans="1:9">
      <c r="A117" s="80" t="s">
        <v>1326</v>
      </c>
      <c r="B117" s="81">
        <v>35</v>
      </c>
      <c r="C117" s="81">
        <v>17</v>
      </c>
      <c r="D117" s="82">
        <f t="shared" si="2"/>
        <v>0.485714285714286</v>
      </c>
      <c r="E117" s="83">
        <f t="shared" si="3"/>
        <v>0.214285714285714</v>
      </c>
      <c r="F117" s="84"/>
      <c r="H117" s="85" t="s">
        <v>1327</v>
      </c>
      <c r="I117" s="94">
        <v>14</v>
      </c>
    </row>
    <row r="118" spans="1:9">
      <c r="A118" s="80" t="s">
        <v>1328</v>
      </c>
      <c r="B118" s="81"/>
      <c r="C118" s="81"/>
      <c r="D118" s="82"/>
      <c r="E118" s="83"/>
      <c r="F118" s="84"/>
      <c r="H118" s="85" t="s">
        <v>1329</v>
      </c>
      <c r="I118" s="94"/>
    </row>
    <row r="119" spans="1:9">
      <c r="A119" s="80" t="s">
        <v>119</v>
      </c>
      <c r="B119" s="81">
        <v>275</v>
      </c>
      <c r="C119" s="81"/>
      <c r="D119" s="82">
        <f t="shared" si="2"/>
        <v>0</v>
      </c>
      <c r="E119" s="83">
        <f t="shared" si="3"/>
        <v>-1</v>
      </c>
      <c r="F119" s="84"/>
      <c r="H119" s="85" t="s">
        <v>119</v>
      </c>
      <c r="I119" s="94">
        <v>112</v>
      </c>
    </row>
    <row r="120" spans="1:9">
      <c r="A120" s="80" t="s">
        <v>221</v>
      </c>
      <c r="B120" s="81"/>
      <c r="C120" s="81"/>
      <c r="D120" s="82"/>
      <c r="E120" s="83"/>
      <c r="F120" s="84"/>
      <c r="H120" s="85" t="s">
        <v>221</v>
      </c>
      <c r="I120" s="94"/>
    </row>
    <row r="121" spans="1:9">
      <c r="A121" s="86" t="s">
        <v>222</v>
      </c>
      <c r="B121" s="81"/>
      <c r="C121" s="81"/>
      <c r="D121" s="82"/>
      <c r="E121" s="83"/>
      <c r="F121" s="84"/>
      <c r="H121" s="87" t="s">
        <v>222</v>
      </c>
      <c r="I121" s="94"/>
    </row>
    <row r="122" spans="1:9">
      <c r="A122" s="89" t="s">
        <v>223</v>
      </c>
      <c r="B122" s="81"/>
      <c r="C122" s="81"/>
      <c r="D122" s="82"/>
      <c r="E122" s="83"/>
      <c r="F122" s="84"/>
      <c r="H122" s="90" t="s">
        <v>223</v>
      </c>
      <c r="I122" s="94"/>
    </row>
    <row r="123" spans="1:9">
      <c r="A123" s="80" t="s">
        <v>224</v>
      </c>
      <c r="B123" s="81"/>
      <c r="C123" s="81"/>
      <c r="D123" s="82"/>
      <c r="E123" s="83"/>
      <c r="F123" s="84"/>
      <c r="H123" s="85" t="s">
        <v>224</v>
      </c>
      <c r="I123" s="94"/>
    </row>
    <row r="124" spans="1:9">
      <c r="A124" s="86" t="s">
        <v>225</v>
      </c>
      <c r="B124" s="81">
        <f>SUM(B125)</f>
        <v>500</v>
      </c>
      <c r="C124" s="81">
        <f>SUM(C125)</f>
        <v>155</v>
      </c>
      <c r="D124" s="82">
        <f t="shared" si="2"/>
        <v>0.31</v>
      </c>
      <c r="E124" s="83">
        <f t="shared" si="3"/>
        <v>-0.049079754601227</v>
      </c>
      <c r="F124" s="84"/>
      <c r="H124" s="87" t="s">
        <v>225</v>
      </c>
      <c r="I124" s="94">
        <v>163</v>
      </c>
    </row>
    <row r="125" spans="1:9">
      <c r="A125" s="86" t="s">
        <v>1330</v>
      </c>
      <c r="B125" s="81">
        <v>500</v>
      </c>
      <c r="C125" s="81">
        <v>155</v>
      </c>
      <c r="D125" s="82">
        <f t="shared" si="2"/>
        <v>0.31</v>
      </c>
      <c r="E125" s="83">
        <f t="shared" si="3"/>
        <v>-0.049079754601227</v>
      </c>
      <c r="F125" s="84"/>
      <c r="H125" s="87" t="s">
        <v>1331</v>
      </c>
      <c r="I125" s="94">
        <v>163</v>
      </c>
    </row>
    <row r="126" spans="1:9">
      <c r="A126" s="99" t="s">
        <v>1332</v>
      </c>
      <c r="B126" s="96">
        <f>SUM(B127,B128,B134,,B137,B139,B141,B142,B144,B147,B150)</f>
        <v>80193</v>
      </c>
      <c r="C126" s="96">
        <f>SUM(C127,C128,C134,,C137,C139,C141,C142,C144,C147,C150)</f>
        <v>35522</v>
      </c>
      <c r="D126" s="82">
        <f t="shared" si="2"/>
        <v>0.442956367762772</v>
      </c>
      <c r="E126" s="83">
        <f t="shared" si="3"/>
        <v>0.362092104758618</v>
      </c>
      <c r="F126" s="84"/>
      <c r="H126" s="100" t="s">
        <v>1332</v>
      </c>
      <c r="I126" s="52">
        <v>26079</v>
      </c>
    </row>
    <row r="127" spans="1:9">
      <c r="A127" s="86" t="s">
        <v>227</v>
      </c>
      <c r="B127" s="81"/>
      <c r="C127" s="81"/>
      <c r="D127" s="82"/>
      <c r="E127" s="83"/>
      <c r="F127" s="84"/>
      <c r="H127" s="87" t="s">
        <v>227</v>
      </c>
      <c r="I127" s="94"/>
    </row>
    <row r="128" spans="1:9">
      <c r="A128" s="80" t="s">
        <v>229</v>
      </c>
      <c r="B128" s="81">
        <f>SUM(B129:B133)</f>
        <v>64810</v>
      </c>
      <c r="C128" s="81">
        <f>SUM(C129:C133)</f>
        <v>31443</v>
      </c>
      <c r="D128" s="82">
        <f t="shared" si="2"/>
        <v>0.485156611634007</v>
      </c>
      <c r="E128" s="83">
        <f t="shared" si="3"/>
        <v>0.308870665612122</v>
      </c>
      <c r="F128" s="84"/>
      <c r="H128" s="85" t="s">
        <v>229</v>
      </c>
      <c r="I128" s="94">
        <v>24023</v>
      </c>
    </row>
    <row r="129" spans="1:9">
      <c r="A129" s="80" t="s">
        <v>230</v>
      </c>
      <c r="B129" s="81">
        <f>2341-420</f>
        <v>1921</v>
      </c>
      <c r="C129" s="81">
        <v>659</v>
      </c>
      <c r="D129" s="82">
        <f t="shared" si="2"/>
        <v>0.343050494534097</v>
      </c>
      <c r="E129" s="83">
        <f t="shared" si="3"/>
        <v>0.0217054263565891</v>
      </c>
      <c r="F129" s="84"/>
      <c r="H129" s="85" t="s">
        <v>1333</v>
      </c>
      <c r="I129" s="94">
        <v>645</v>
      </c>
    </row>
    <row r="130" spans="1:9">
      <c r="A130" s="80" t="s">
        <v>231</v>
      </c>
      <c r="B130" s="81">
        <f>23254-14</f>
        <v>23240</v>
      </c>
      <c r="C130" s="81">
        <v>11390</v>
      </c>
      <c r="D130" s="82">
        <f t="shared" si="2"/>
        <v>0.490103270223752</v>
      </c>
      <c r="E130" s="83">
        <f t="shared" si="3"/>
        <v>0.324110671936759</v>
      </c>
      <c r="F130" s="84"/>
      <c r="H130" s="85" t="s">
        <v>1334</v>
      </c>
      <c r="I130" s="94">
        <v>8602</v>
      </c>
    </row>
    <row r="131" spans="1:9">
      <c r="A131" s="80" t="s">
        <v>232</v>
      </c>
      <c r="B131" s="81">
        <v>20856</v>
      </c>
      <c r="C131" s="81">
        <v>10167</v>
      </c>
      <c r="D131" s="82">
        <f t="shared" si="2"/>
        <v>0.487485615650173</v>
      </c>
      <c r="E131" s="83">
        <f t="shared" si="3"/>
        <v>0.256426099851705</v>
      </c>
      <c r="F131" s="84"/>
      <c r="H131" s="85" t="s">
        <v>1335</v>
      </c>
      <c r="I131" s="94">
        <v>8092</v>
      </c>
    </row>
    <row r="132" spans="1:9">
      <c r="A132" s="80" t="s">
        <v>233</v>
      </c>
      <c r="B132" s="81">
        <v>12496</v>
      </c>
      <c r="C132" s="81">
        <v>6104</v>
      </c>
      <c r="D132" s="82">
        <f t="shared" si="2"/>
        <v>0.488476312419974</v>
      </c>
      <c r="E132" s="83">
        <f t="shared" si="3"/>
        <v>0.4182156133829</v>
      </c>
      <c r="F132" s="84"/>
      <c r="H132" s="85" t="s">
        <v>1336</v>
      </c>
      <c r="I132" s="94">
        <v>4304</v>
      </c>
    </row>
    <row r="133" spans="1:9">
      <c r="A133" s="80" t="s">
        <v>234</v>
      </c>
      <c r="B133" s="81">
        <v>6297</v>
      </c>
      <c r="C133" s="81">
        <v>3123</v>
      </c>
      <c r="D133" s="82">
        <f t="shared" ref="D133:D196" si="4">C133/B133</f>
        <v>0.495950452596475</v>
      </c>
      <c r="E133" s="83">
        <f t="shared" ref="E133:E196" si="5">(C133-I133)/I133</f>
        <v>0.31218487394958</v>
      </c>
      <c r="F133" s="84"/>
      <c r="H133" s="85" t="s">
        <v>1337</v>
      </c>
      <c r="I133" s="94">
        <v>2380</v>
      </c>
    </row>
    <row r="134" spans="1:9">
      <c r="A134" s="80" t="s">
        <v>235</v>
      </c>
      <c r="B134" s="81">
        <f>SUM(B135:B136)</f>
        <v>2016</v>
      </c>
      <c r="C134" s="81">
        <f>SUM(C135:C136)</f>
        <v>871</v>
      </c>
      <c r="D134" s="82">
        <f t="shared" si="4"/>
        <v>0.432043650793651</v>
      </c>
      <c r="E134" s="83">
        <f t="shared" si="5"/>
        <v>0.282768777614138</v>
      </c>
      <c r="F134" s="84"/>
      <c r="H134" s="85" t="s">
        <v>235</v>
      </c>
      <c r="I134" s="94">
        <v>679</v>
      </c>
    </row>
    <row r="135" spans="1:9">
      <c r="A135" s="80" t="s">
        <v>236</v>
      </c>
      <c r="B135" s="81">
        <v>1705</v>
      </c>
      <c r="C135" s="81">
        <v>799</v>
      </c>
      <c r="D135" s="82">
        <f t="shared" si="4"/>
        <v>0.468621700879765</v>
      </c>
      <c r="E135" s="83">
        <f t="shared" si="5"/>
        <v>0.579051383399209</v>
      </c>
      <c r="F135" s="84"/>
      <c r="H135" s="85" t="s">
        <v>1338</v>
      </c>
      <c r="I135" s="94">
        <v>506</v>
      </c>
    </row>
    <row r="136" spans="1:9">
      <c r="A136" s="80" t="s">
        <v>1339</v>
      </c>
      <c r="B136" s="81">
        <f>553-242</f>
        <v>311</v>
      </c>
      <c r="C136" s="81">
        <v>72</v>
      </c>
      <c r="D136" s="82">
        <f t="shared" si="4"/>
        <v>0.231511254019293</v>
      </c>
      <c r="E136" s="83">
        <f t="shared" si="5"/>
        <v>-0.583815028901734</v>
      </c>
      <c r="F136" s="84"/>
      <c r="H136" s="85" t="s">
        <v>1340</v>
      </c>
      <c r="I136" s="94">
        <v>173</v>
      </c>
    </row>
    <row r="137" spans="1:9">
      <c r="A137" s="89" t="s">
        <v>238</v>
      </c>
      <c r="B137" s="81">
        <f>SUM(B138)</f>
        <v>36</v>
      </c>
      <c r="C137" s="81">
        <f t="shared" ref="C137:C142" si="6">SUM(C138)</f>
        <v>0</v>
      </c>
      <c r="D137" s="82">
        <f t="shared" si="4"/>
        <v>0</v>
      </c>
      <c r="E137" s="83"/>
      <c r="F137" s="84"/>
      <c r="H137" s="90" t="s">
        <v>238</v>
      </c>
      <c r="I137" s="94"/>
    </row>
    <row r="138" spans="1:9">
      <c r="A138" s="89" t="s">
        <v>1341</v>
      </c>
      <c r="B138" s="81">
        <v>36</v>
      </c>
      <c r="C138" s="81"/>
      <c r="D138" s="82">
        <f t="shared" si="4"/>
        <v>0</v>
      </c>
      <c r="E138" s="83"/>
      <c r="F138" s="84"/>
      <c r="H138" s="90" t="s">
        <v>1342</v>
      </c>
      <c r="I138" s="94"/>
    </row>
    <row r="139" spans="1:9">
      <c r="A139" s="86" t="s">
        <v>240</v>
      </c>
      <c r="B139" s="81">
        <f>SUM(B140)</f>
        <v>1</v>
      </c>
      <c r="C139" s="81">
        <f t="shared" si="6"/>
        <v>1</v>
      </c>
      <c r="D139" s="82">
        <f t="shared" si="4"/>
        <v>1</v>
      </c>
      <c r="E139" s="83"/>
      <c r="F139" s="84"/>
      <c r="H139" s="87" t="s">
        <v>240</v>
      </c>
      <c r="I139" s="94"/>
    </row>
    <row r="140" spans="1:9">
      <c r="A140" s="86" t="s">
        <v>241</v>
      </c>
      <c r="B140" s="81">
        <v>1</v>
      </c>
      <c r="C140" s="81">
        <v>1</v>
      </c>
      <c r="D140" s="82">
        <f t="shared" si="4"/>
        <v>1</v>
      </c>
      <c r="E140" s="83"/>
      <c r="F140" s="84"/>
      <c r="H140" s="87" t="s">
        <v>1343</v>
      </c>
      <c r="I140" s="94"/>
    </row>
    <row r="141" spans="1:9">
      <c r="A141" s="86" t="s">
        <v>242</v>
      </c>
      <c r="B141" s="81"/>
      <c r="C141" s="81"/>
      <c r="D141" s="82"/>
      <c r="E141" s="83"/>
      <c r="F141" s="84"/>
      <c r="H141" s="87" t="s">
        <v>242</v>
      </c>
      <c r="I141" s="94"/>
    </row>
    <row r="142" spans="1:9">
      <c r="A142" s="80" t="s">
        <v>243</v>
      </c>
      <c r="B142" s="81">
        <f>SUM(B143)</f>
        <v>234</v>
      </c>
      <c r="C142" s="81">
        <f t="shared" si="6"/>
        <v>100</v>
      </c>
      <c r="D142" s="82">
        <f t="shared" si="4"/>
        <v>0.427350427350427</v>
      </c>
      <c r="E142" s="83">
        <f t="shared" si="5"/>
        <v>1.4390243902439</v>
      </c>
      <c r="F142" s="84"/>
      <c r="H142" s="85" t="s">
        <v>243</v>
      </c>
      <c r="I142" s="94">
        <v>41</v>
      </c>
    </row>
    <row r="143" spans="1:9">
      <c r="A143" s="80" t="s">
        <v>244</v>
      </c>
      <c r="B143" s="81">
        <v>234</v>
      </c>
      <c r="C143" s="81">
        <v>100</v>
      </c>
      <c r="D143" s="82">
        <f t="shared" si="4"/>
        <v>0.427350427350427</v>
      </c>
      <c r="E143" s="83">
        <f t="shared" si="5"/>
        <v>1.4390243902439</v>
      </c>
      <c r="F143" s="84"/>
      <c r="H143" s="85" t="s">
        <v>1344</v>
      </c>
      <c r="I143" s="94">
        <v>41</v>
      </c>
    </row>
    <row r="144" spans="1:9">
      <c r="A144" s="86" t="s">
        <v>245</v>
      </c>
      <c r="B144" s="81">
        <f>SUM(B145:B146)</f>
        <v>780</v>
      </c>
      <c r="C144" s="81">
        <f>SUM(C145:C146)</f>
        <v>265</v>
      </c>
      <c r="D144" s="82">
        <f t="shared" si="4"/>
        <v>0.33974358974359</v>
      </c>
      <c r="E144" s="83">
        <f t="shared" si="5"/>
        <v>0.167400881057269</v>
      </c>
      <c r="F144" s="84"/>
      <c r="H144" s="87" t="s">
        <v>245</v>
      </c>
      <c r="I144" s="94">
        <v>227</v>
      </c>
    </row>
    <row r="145" spans="1:9">
      <c r="A145" s="86" t="s">
        <v>246</v>
      </c>
      <c r="B145" s="81">
        <v>229</v>
      </c>
      <c r="C145" s="81">
        <v>63</v>
      </c>
      <c r="D145" s="82">
        <f t="shared" si="4"/>
        <v>0.275109170305677</v>
      </c>
      <c r="E145" s="83">
        <f t="shared" si="5"/>
        <v>0.431818181818182</v>
      </c>
      <c r="F145" s="84"/>
      <c r="H145" s="87" t="s">
        <v>1345</v>
      </c>
      <c r="I145" s="94">
        <v>44</v>
      </c>
    </row>
    <row r="146" spans="1:9">
      <c r="A146" s="86" t="s">
        <v>247</v>
      </c>
      <c r="B146" s="81">
        <v>551</v>
      </c>
      <c r="C146" s="81">
        <v>202</v>
      </c>
      <c r="D146" s="82">
        <f t="shared" si="4"/>
        <v>0.366606170598911</v>
      </c>
      <c r="E146" s="83">
        <f t="shared" si="5"/>
        <v>0.103825136612022</v>
      </c>
      <c r="F146" s="84"/>
      <c r="H146" s="87" t="s">
        <v>1346</v>
      </c>
      <c r="I146" s="94">
        <v>183</v>
      </c>
    </row>
    <row r="147" spans="1:9">
      <c r="A147" s="80" t="s">
        <v>248</v>
      </c>
      <c r="B147" s="81">
        <f>SUM(B148:B149)</f>
        <v>7918</v>
      </c>
      <c r="C147" s="81">
        <f>SUM(C148:C149)</f>
        <v>2842</v>
      </c>
      <c r="D147" s="82">
        <f t="shared" si="4"/>
        <v>0.358929022480424</v>
      </c>
      <c r="E147" s="83">
        <f t="shared" si="5"/>
        <v>1.71961722488038</v>
      </c>
      <c r="F147" s="84"/>
      <c r="H147" s="85" t="s">
        <v>248</v>
      </c>
      <c r="I147" s="94">
        <v>1045</v>
      </c>
    </row>
    <row r="148" spans="1:9">
      <c r="A148" s="80" t="s">
        <v>249</v>
      </c>
      <c r="B148" s="81">
        <v>17</v>
      </c>
      <c r="C148" s="81">
        <v>17</v>
      </c>
      <c r="D148" s="82">
        <f t="shared" si="4"/>
        <v>1</v>
      </c>
      <c r="E148" s="83">
        <f t="shared" si="5"/>
        <v>-0.895061728395062</v>
      </c>
      <c r="F148" s="84"/>
      <c r="H148" s="101" t="s">
        <v>249</v>
      </c>
      <c r="I148" s="94">
        <v>162</v>
      </c>
    </row>
    <row r="149" spans="1:9">
      <c r="A149" s="80" t="s">
        <v>1347</v>
      </c>
      <c r="B149" s="81">
        <f>9090-1189</f>
        <v>7901</v>
      </c>
      <c r="C149" s="81">
        <v>2825</v>
      </c>
      <c r="D149" s="82">
        <f t="shared" si="4"/>
        <v>0.357549677256044</v>
      </c>
      <c r="E149" s="83">
        <f t="shared" si="5"/>
        <v>2.19932049830125</v>
      </c>
      <c r="F149" s="84"/>
      <c r="H149" s="85" t="s">
        <v>1348</v>
      </c>
      <c r="I149" s="94">
        <v>883</v>
      </c>
    </row>
    <row r="150" spans="1:9">
      <c r="A150" s="80" t="s">
        <v>251</v>
      </c>
      <c r="B150" s="81">
        <f>SUM(B151)</f>
        <v>4398</v>
      </c>
      <c r="C150" s="81">
        <f>SUM(C151)</f>
        <v>0</v>
      </c>
      <c r="D150" s="82">
        <f t="shared" si="4"/>
        <v>0</v>
      </c>
      <c r="E150" s="83">
        <f t="shared" si="5"/>
        <v>-1</v>
      </c>
      <c r="F150" s="84"/>
      <c r="H150" s="85" t="s">
        <v>251</v>
      </c>
      <c r="I150" s="94">
        <v>64</v>
      </c>
    </row>
    <row r="151" spans="1:9">
      <c r="A151" s="80" t="s">
        <v>1349</v>
      </c>
      <c r="B151" s="81">
        <v>4398</v>
      </c>
      <c r="C151" s="81"/>
      <c r="D151" s="82">
        <f t="shared" si="4"/>
        <v>0</v>
      </c>
      <c r="E151" s="83">
        <f t="shared" si="5"/>
        <v>-1</v>
      </c>
      <c r="F151" s="84"/>
      <c r="H151" s="85" t="s">
        <v>1350</v>
      </c>
      <c r="I151" s="94">
        <v>64</v>
      </c>
    </row>
    <row r="152" spans="1:9">
      <c r="A152" s="99" t="s">
        <v>1351</v>
      </c>
      <c r="B152" s="96">
        <f>SUM(B153,B156,B157,B161,B163,B164,B167,B168,B169)</f>
        <v>1196</v>
      </c>
      <c r="C152" s="96">
        <f>SUM(C153,C156,C157,C161,C163,C164,C167,C168,C169)</f>
        <v>955</v>
      </c>
      <c r="D152" s="82">
        <f t="shared" si="4"/>
        <v>0.798494983277592</v>
      </c>
      <c r="E152" s="83">
        <f t="shared" si="5"/>
        <v>11.4025974025974</v>
      </c>
      <c r="F152" s="84"/>
      <c r="H152" s="100" t="s">
        <v>1351</v>
      </c>
      <c r="I152" s="52">
        <v>77</v>
      </c>
    </row>
    <row r="153" spans="1:9">
      <c r="A153" s="86" t="s">
        <v>253</v>
      </c>
      <c r="B153" s="81">
        <f>SUM(B154:B155)</f>
        <v>592</v>
      </c>
      <c r="C153" s="81">
        <f>SUM(C154:C155)</f>
        <v>540</v>
      </c>
      <c r="D153" s="82">
        <f t="shared" si="4"/>
        <v>0.912162162162162</v>
      </c>
      <c r="E153" s="83">
        <f t="shared" si="5"/>
        <v>13.5945945945946</v>
      </c>
      <c r="F153" s="84"/>
      <c r="H153" s="87" t="s">
        <v>253</v>
      </c>
      <c r="I153" s="94">
        <v>37</v>
      </c>
    </row>
    <row r="154" spans="1:9">
      <c r="A154" s="86" t="s">
        <v>152</v>
      </c>
      <c r="B154" s="81">
        <v>92</v>
      </c>
      <c r="C154" s="81">
        <v>40</v>
      </c>
      <c r="D154" s="82">
        <f t="shared" si="4"/>
        <v>0.434782608695652</v>
      </c>
      <c r="E154" s="83">
        <f t="shared" si="5"/>
        <v>0.0810810810810811</v>
      </c>
      <c r="F154" s="84"/>
      <c r="H154" s="87" t="s">
        <v>152</v>
      </c>
      <c r="I154" s="94">
        <v>37</v>
      </c>
    </row>
    <row r="155" spans="1:9">
      <c r="A155" s="86" t="s">
        <v>1352</v>
      </c>
      <c r="B155" s="81">
        <v>500</v>
      </c>
      <c r="C155" s="81">
        <v>500</v>
      </c>
      <c r="D155" s="82">
        <f t="shared" si="4"/>
        <v>1</v>
      </c>
      <c r="E155" s="83"/>
      <c r="F155" s="84"/>
      <c r="H155" s="87"/>
      <c r="I155" s="94"/>
    </row>
    <row r="156" spans="1:9">
      <c r="A156" s="80" t="s">
        <v>255</v>
      </c>
      <c r="B156" s="81"/>
      <c r="C156" s="81"/>
      <c r="D156" s="82"/>
      <c r="E156" s="83"/>
      <c r="F156" s="84"/>
      <c r="H156" s="85" t="s">
        <v>255</v>
      </c>
      <c r="I156" s="94"/>
    </row>
    <row r="157" spans="1:9">
      <c r="A157" s="86" t="s">
        <v>257</v>
      </c>
      <c r="B157" s="81">
        <f>SUM(B158:B160)</f>
        <v>70</v>
      </c>
      <c r="C157" s="81">
        <f>SUM(C158:C160)</f>
        <v>30</v>
      </c>
      <c r="D157" s="82">
        <f t="shared" si="4"/>
        <v>0.428571428571429</v>
      </c>
      <c r="E157" s="83"/>
      <c r="F157" s="84"/>
      <c r="H157" s="87" t="s">
        <v>257</v>
      </c>
      <c r="I157" s="94"/>
    </row>
    <row r="158" spans="1:9">
      <c r="A158" s="86" t="s">
        <v>1353</v>
      </c>
      <c r="B158" s="81">
        <v>15</v>
      </c>
      <c r="C158" s="81"/>
      <c r="D158" s="82">
        <f t="shared" si="4"/>
        <v>0</v>
      </c>
      <c r="E158" s="83"/>
      <c r="F158" s="84"/>
      <c r="H158" s="87" t="s">
        <v>1354</v>
      </c>
      <c r="I158" s="94"/>
    </row>
    <row r="159" spans="1:9">
      <c r="A159" s="86" t="s">
        <v>259</v>
      </c>
      <c r="B159" s="81">
        <v>5</v>
      </c>
      <c r="C159" s="81"/>
      <c r="D159" s="82">
        <f t="shared" si="4"/>
        <v>0</v>
      </c>
      <c r="E159" s="83"/>
      <c r="F159" s="84"/>
      <c r="H159" s="87"/>
      <c r="I159" s="94"/>
    </row>
    <row r="160" spans="1:9">
      <c r="A160" s="86" t="s">
        <v>1355</v>
      </c>
      <c r="B160" s="81">
        <v>50</v>
      </c>
      <c r="C160" s="81">
        <v>30</v>
      </c>
      <c r="D160" s="82">
        <f t="shared" si="4"/>
        <v>0.6</v>
      </c>
      <c r="E160" s="83"/>
      <c r="F160" s="84"/>
      <c r="H160" s="87" t="s">
        <v>1356</v>
      </c>
      <c r="I160" s="94"/>
    </row>
    <row r="161" spans="1:9">
      <c r="A161" s="86" t="s">
        <v>261</v>
      </c>
      <c r="B161" s="81">
        <f>SUM(B162)</f>
        <v>206</v>
      </c>
      <c r="C161" s="81">
        <f>SUM(C162)</f>
        <v>305</v>
      </c>
      <c r="D161" s="82">
        <f t="shared" si="4"/>
        <v>1.48058252427184</v>
      </c>
      <c r="E161" s="83"/>
      <c r="F161" s="84"/>
      <c r="H161" s="87" t="s">
        <v>261</v>
      </c>
      <c r="I161" s="94"/>
    </row>
    <row r="162" spans="1:9">
      <c r="A162" s="86" t="s">
        <v>262</v>
      </c>
      <c r="B162" s="81">
        <v>206</v>
      </c>
      <c r="C162" s="81">
        <v>305</v>
      </c>
      <c r="D162" s="82">
        <f t="shared" si="4"/>
        <v>1.48058252427184</v>
      </c>
      <c r="E162" s="83"/>
      <c r="F162" s="84"/>
      <c r="H162" s="87" t="s">
        <v>1357</v>
      </c>
      <c r="I162" s="94"/>
    </row>
    <row r="163" spans="1:9">
      <c r="A163" s="86" t="s">
        <v>263</v>
      </c>
      <c r="B163" s="81"/>
      <c r="C163" s="81"/>
      <c r="D163" s="82"/>
      <c r="E163" s="83"/>
      <c r="F163" s="84"/>
      <c r="H163" s="87" t="s">
        <v>263</v>
      </c>
      <c r="I163" s="94"/>
    </row>
    <row r="164" spans="1:9">
      <c r="A164" s="80" t="s">
        <v>264</v>
      </c>
      <c r="B164" s="81">
        <f>SUM(B165:B166)</f>
        <v>134</v>
      </c>
      <c r="C164" s="81">
        <f>SUM(C165:C166)</f>
        <v>51</v>
      </c>
      <c r="D164" s="82">
        <f t="shared" si="4"/>
        <v>0.380597014925373</v>
      </c>
      <c r="E164" s="83">
        <f t="shared" si="5"/>
        <v>0.275</v>
      </c>
      <c r="F164" s="84"/>
      <c r="H164" s="85" t="s">
        <v>264</v>
      </c>
      <c r="I164" s="94">
        <v>40</v>
      </c>
    </row>
    <row r="165" spans="1:9">
      <c r="A165" s="80" t="s">
        <v>1358</v>
      </c>
      <c r="B165" s="81">
        <v>114</v>
      </c>
      <c r="C165" s="81">
        <v>50</v>
      </c>
      <c r="D165" s="82">
        <f t="shared" si="4"/>
        <v>0.43859649122807</v>
      </c>
      <c r="E165" s="83">
        <f t="shared" si="5"/>
        <v>0.25</v>
      </c>
      <c r="F165" s="84"/>
      <c r="H165" s="85" t="s">
        <v>1359</v>
      </c>
      <c r="I165" s="94">
        <v>40</v>
      </c>
    </row>
    <row r="166" spans="1:9">
      <c r="A166" s="80" t="s">
        <v>1360</v>
      </c>
      <c r="B166" s="81">
        <v>20</v>
      </c>
      <c r="C166" s="81">
        <v>1</v>
      </c>
      <c r="D166" s="82">
        <f t="shared" si="4"/>
        <v>0.05</v>
      </c>
      <c r="E166" s="83"/>
      <c r="F166" s="84"/>
      <c r="H166" s="85" t="s">
        <v>1361</v>
      </c>
      <c r="I166" s="94"/>
    </row>
    <row r="167" spans="1:9">
      <c r="A167" s="80" t="s">
        <v>268</v>
      </c>
      <c r="B167" s="81"/>
      <c r="C167" s="81"/>
      <c r="D167" s="82"/>
      <c r="E167" s="83"/>
      <c r="F167" s="84"/>
      <c r="H167" s="85" t="s">
        <v>268</v>
      </c>
      <c r="I167" s="94"/>
    </row>
    <row r="168" spans="1:9">
      <c r="A168" s="89" t="s">
        <v>269</v>
      </c>
      <c r="B168" s="81"/>
      <c r="C168" s="81"/>
      <c r="D168" s="82"/>
      <c r="E168" s="83"/>
      <c r="F168" s="84"/>
      <c r="H168" s="90" t="s">
        <v>269</v>
      </c>
      <c r="I168" s="94"/>
    </row>
    <row r="169" spans="1:9">
      <c r="A169" s="80" t="s">
        <v>270</v>
      </c>
      <c r="B169" s="81">
        <f>SUM(B170)</f>
        <v>194</v>
      </c>
      <c r="C169" s="81">
        <f>SUM(C170)</f>
        <v>29</v>
      </c>
      <c r="D169" s="82">
        <f t="shared" si="4"/>
        <v>0.149484536082474</v>
      </c>
      <c r="E169" s="83"/>
      <c r="F169" s="84"/>
      <c r="H169" s="85" t="s">
        <v>270</v>
      </c>
      <c r="I169" s="94"/>
    </row>
    <row r="170" spans="1:9">
      <c r="A170" s="80" t="s">
        <v>1362</v>
      </c>
      <c r="B170" s="81">
        <v>194</v>
      </c>
      <c r="C170" s="81">
        <v>29</v>
      </c>
      <c r="D170" s="82">
        <f t="shared" si="4"/>
        <v>0.149484536082474</v>
      </c>
      <c r="E170" s="83"/>
      <c r="F170" s="84"/>
      <c r="H170" s="85" t="s">
        <v>1363</v>
      </c>
      <c r="I170" s="94"/>
    </row>
    <row r="171" spans="1:9">
      <c r="A171" s="97" t="s">
        <v>1364</v>
      </c>
      <c r="B171" s="96">
        <f>SUM(B172,B182,B186,B191,B197)</f>
        <v>4554</v>
      </c>
      <c r="C171" s="96">
        <f>SUM(C172,C182,C186,C191,C197)</f>
        <v>1609</v>
      </c>
      <c r="D171" s="82">
        <f t="shared" si="4"/>
        <v>0.353315766359245</v>
      </c>
      <c r="E171" s="83">
        <f t="shared" si="5"/>
        <v>0.144381223328592</v>
      </c>
      <c r="F171" s="84"/>
      <c r="H171" s="98" t="s">
        <v>1364</v>
      </c>
      <c r="I171" s="52">
        <v>1406</v>
      </c>
    </row>
    <row r="172" spans="1:9">
      <c r="A172" s="89" t="s">
        <v>272</v>
      </c>
      <c r="B172" s="81">
        <f>SUM(B173:B181)</f>
        <v>1555</v>
      </c>
      <c r="C172" s="81">
        <f>SUM(C173:C181)</f>
        <v>614</v>
      </c>
      <c r="D172" s="82">
        <f t="shared" si="4"/>
        <v>0.394855305466238</v>
      </c>
      <c r="E172" s="83">
        <f t="shared" si="5"/>
        <v>0.0678260869565217</v>
      </c>
      <c r="F172" s="84"/>
      <c r="H172" s="90" t="s">
        <v>272</v>
      </c>
      <c r="I172" s="94">
        <v>575</v>
      </c>
    </row>
    <row r="173" spans="1:9">
      <c r="A173" s="89" t="s">
        <v>152</v>
      </c>
      <c r="B173" s="81">
        <v>96</v>
      </c>
      <c r="C173" s="81">
        <v>40</v>
      </c>
      <c r="D173" s="82">
        <f t="shared" si="4"/>
        <v>0.416666666666667</v>
      </c>
      <c r="E173" s="83">
        <f t="shared" si="5"/>
        <v>0.0810810810810811</v>
      </c>
      <c r="F173" s="84"/>
      <c r="H173" s="90" t="s">
        <v>152</v>
      </c>
      <c r="I173" s="94">
        <v>37</v>
      </c>
    </row>
    <row r="174" spans="1:9">
      <c r="A174" s="89" t="s">
        <v>274</v>
      </c>
      <c r="B174" s="81">
        <v>201</v>
      </c>
      <c r="C174" s="81">
        <v>75</v>
      </c>
      <c r="D174" s="82">
        <f t="shared" si="4"/>
        <v>0.373134328358209</v>
      </c>
      <c r="E174" s="83">
        <f t="shared" si="5"/>
        <v>0.209677419354839</v>
      </c>
      <c r="F174" s="84"/>
      <c r="H174" s="90" t="s">
        <v>1365</v>
      </c>
      <c r="I174" s="94">
        <v>62</v>
      </c>
    </row>
    <row r="175" spans="1:9">
      <c r="A175" s="89" t="s">
        <v>275</v>
      </c>
      <c r="B175" s="81">
        <v>52</v>
      </c>
      <c r="C175" s="81">
        <v>31</v>
      </c>
      <c r="D175" s="82">
        <f t="shared" si="4"/>
        <v>0.596153846153846</v>
      </c>
      <c r="E175" s="83">
        <f t="shared" si="5"/>
        <v>0.722222222222222</v>
      </c>
      <c r="F175" s="84"/>
      <c r="H175" s="90" t="s">
        <v>1366</v>
      </c>
      <c r="I175" s="94">
        <v>18</v>
      </c>
    </row>
    <row r="176" spans="1:9">
      <c r="A176" s="89" t="s">
        <v>276</v>
      </c>
      <c r="B176" s="81">
        <v>539</v>
      </c>
      <c r="C176" s="81">
        <v>230</v>
      </c>
      <c r="D176" s="82">
        <f t="shared" si="4"/>
        <v>0.426716141001855</v>
      </c>
      <c r="E176" s="83">
        <f t="shared" si="5"/>
        <v>-0.0495867768595041</v>
      </c>
      <c r="F176" s="84"/>
      <c r="H176" s="90" t="s">
        <v>1367</v>
      </c>
      <c r="I176" s="94">
        <v>242</v>
      </c>
    </row>
    <row r="177" spans="1:9">
      <c r="A177" s="89" t="s">
        <v>277</v>
      </c>
      <c r="B177" s="81"/>
      <c r="C177" s="81"/>
      <c r="D177" s="82"/>
      <c r="E177" s="83">
        <f t="shared" si="5"/>
        <v>-1</v>
      </c>
      <c r="F177" s="84"/>
      <c r="H177" s="91" t="s">
        <v>277</v>
      </c>
      <c r="I177" s="94">
        <v>20</v>
      </c>
    </row>
    <row r="178" spans="1:9">
      <c r="A178" s="89" t="s">
        <v>278</v>
      </c>
      <c r="B178" s="81">
        <v>246</v>
      </c>
      <c r="C178" s="81">
        <v>109</v>
      </c>
      <c r="D178" s="82">
        <f t="shared" si="4"/>
        <v>0.443089430894309</v>
      </c>
      <c r="E178" s="83">
        <f t="shared" si="5"/>
        <v>0.297619047619048</v>
      </c>
      <c r="F178" s="84"/>
      <c r="H178" s="90" t="s">
        <v>1368</v>
      </c>
      <c r="I178" s="94">
        <v>84</v>
      </c>
    </row>
    <row r="179" spans="1:9">
      <c r="A179" s="89" t="s">
        <v>1369</v>
      </c>
      <c r="B179" s="81">
        <v>124</v>
      </c>
      <c r="C179" s="81">
        <v>20</v>
      </c>
      <c r="D179" s="82">
        <f t="shared" si="4"/>
        <v>0.161290322580645</v>
      </c>
      <c r="E179" s="83">
        <f t="shared" si="5"/>
        <v>-0.333333333333333</v>
      </c>
      <c r="F179" s="84"/>
      <c r="H179" s="90" t="s">
        <v>1370</v>
      </c>
      <c r="I179" s="94">
        <v>30</v>
      </c>
    </row>
    <row r="180" spans="1:9">
      <c r="A180" s="89" t="s">
        <v>280</v>
      </c>
      <c r="B180" s="81">
        <v>222</v>
      </c>
      <c r="C180" s="81">
        <v>100</v>
      </c>
      <c r="D180" s="82">
        <f t="shared" si="4"/>
        <v>0.45045045045045</v>
      </c>
      <c r="E180" s="83">
        <f t="shared" si="5"/>
        <v>0.298701298701299</v>
      </c>
      <c r="F180" s="84"/>
      <c r="H180" s="90" t="s">
        <v>1371</v>
      </c>
      <c r="I180" s="94">
        <v>77</v>
      </c>
    </row>
    <row r="181" spans="1:9">
      <c r="A181" s="89" t="s">
        <v>281</v>
      </c>
      <c r="B181" s="81">
        <v>75</v>
      </c>
      <c r="C181" s="81">
        <v>9</v>
      </c>
      <c r="D181" s="82">
        <f t="shared" si="4"/>
        <v>0.12</v>
      </c>
      <c r="E181" s="83">
        <f t="shared" si="5"/>
        <v>0.8</v>
      </c>
      <c r="F181" s="84"/>
      <c r="H181" s="90" t="s">
        <v>1372</v>
      </c>
      <c r="I181" s="94">
        <v>5</v>
      </c>
    </row>
    <row r="182" spans="1:9">
      <c r="A182" s="89" t="s">
        <v>282</v>
      </c>
      <c r="B182" s="81">
        <f>SUM(B183:B185)</f>
        <v>535</v>
      </c>
      <c r="C182" s="81">
        <f>SUM(C183:C185)</f>
        <v>236</v>
      </c>
      <c r="D182" s="82">
        <f t="shared" si="4"/>
        <v>0.441121495327103</v>
      </c>
      <c r="E182" s="83">
        <f t="shared" si="5"/>
        <v>-0.106060606060606</v>
      </c>
      <c r="F182" s="84"/>
      <c r="H182" s="90" t="s">
        <v>282</v>
      </c>
      <c r="I182" s="94">
        <v>264</v>
      </c>
    </row>
    <row r="183" spans="1:9">
      <c r="A183" s="89" t="s">
        <v>1373</v>
      </c>
      <c r="B183" s="81">
        <v>130</v>
      </c>
      <c r="C183" s="81">
        <v>74</v>
      </c>
      <c r="D183" s="82">
        <f t="shared" si="4"/>
        <v>0.569230769230769</v>
      </c>
      <c r="E183" s="83">
        <f t="shared" si="5"/>
        <v>8.25</v>
      </c>
      <c r="F183" s="84"/>
      <c r="H183" s="90" t="s">
        <v>1374</v>
      </c>
      <c r="I183" s="94">
        <v>8</v>
      </c>
    </row>
    <row r="184" spans="1:9">
      <c r="A184" s="89" t="s">
        <v>284</v>
      </c>
      <c r="B184" s="81">
        <v>189</v>
      </c>
      <c r="C184" s="81">
        <v>62</v>
      </c>
      <c r="D184" s="82">
        <f t="shared" si="4"/>
        <v>0.328042328042328</v>
      </c>
      <c r="E184" s="83">
        <f t="shared" si="5"/>
        <v>-0.184210526315789</v>
      </c>
      <c r="F184" s="84"/>
      <c r="H184" s="90" t="s">
        <v>1375</v>
      </c>
      <c r="I184" s="94">
        <v>76</v>
      </c>
    </row>
    <row r="185" spans="1:9">
      <c r="A185" s="89" t="s">
        <v>1376</v>
      </c>
      <c r="B185" s="81">
        <v>216</v>
      </c>
      <c r="C185" s="81">
        <v>100</v>
      </c>
      <c r="D185" s="82">
        <f t="shared" si="4"/>
        <v>0.462962962962963</v>
      </c>
      <c r="E185" s="83">
        <f t="shared" si="5"/>
        <v>-0.444444444444444</v>
      </c>
      <c r="F185" s="84"/>
      <c r="H185" s="90" t="s">
        <v>1377</v>
      </c>
      <c r="I185" s="94">
        <v>180</v>
      </c>
    </row>
    <row r="186" spans="1:9">
      <c r="A186" s="89" t="s">
        <v>286</v>
      </c>
      <c r="B186" s="81">
        <f>SUM(B187:B190)</f>
        <v>313</v>
      </c>
      <c r="C186" s="81">
        <f>SUM(C187:C190)</f>
        <v>98</v>
      </c>
      <c r="D186" s="82">
        <f t="shared" si="4"/>
        <v>0.313099041533546</v>
      </c>
      <c r="E186" s="83">
        <f t="shared" si="5"/>
        <v>0.96</v>
      </c>
      <c r="F186" s="84"/>
      <c r="H186" s="90" t="s">
        <v>286</v>
      </c>
      <c r="I186" s="94">
        <v>50</v>
      </c>
    </row>
    <row r="187" spans="1:9">
      <c r="A187" s="89" t="s">
        <v>287</v>
      </c>
      <c r="B187" s="81">
        <v>100</v>
      </c>
      <c r="C187" s="81">
        <v>44</v>
      </c>
      <c r="D187" s="82">
        <f t="shared" si="4"/>
        <v>0.44</v>
      </c>
      <c r="E187" s="83">
        <f t="shared" si="5"/>
        <v>0.375</v>
      </c>
      <c r="F187" s="84"/>
      <c r="H187" s="90" t="s">
        <v>1378</v>
      </c>
      <c r="I187" s="94">
        <v>32</v>
      </c>
    </row>
    <row r="188" spans="1:9">
      <c r="A188" s="89" t="s">
        <v>288</v>
      </c>
      <c r="B188" s="81">
        <v>115</v>
      </c>
      <c r="C188" s="81">
        <v>29</v>
      </c>
      <c r="D188" s="82">
        <f t="shared" si="4"/>
        <v>0.252173913043478</v>
      </c>
      <c r="E188" s="83"/>
      <c r="F188" s="84"/>
      <c r="H188" s="64"/>
      <c r="I188" s="64"/>
    </row>
    <row r="189" spans="1:9">
      <c r="A189" s="89" t="s">
        <v>1379</v>
      </c>
      <c r="B189" s="81"/>
      <c r="C189" s="81"/>
      <c r="D189" s="82"/>
      <c r="E189" s="83"/>
      <c r="F189" s="84"/>
      <c r="H189" s="90"/>
      <c r="I189" s="94"/>
    </row>
    <row r="190" spans="1:9">
      <c r="A190" s="89" t="s">
        <v>1380</v>
      </c>
      <c r="B190" s="81">
        <v>98</v>
      </c>
      <c r="C190" s="81">
        <v>25</v>
      </c>
      <c r="D190" s="82">
        <f t="shared" si="4"/>
        <v>0.255102040816327</v>
      </c>
      <c r="E190" s="83">
        <f t="shared" si="5"/>
        <v>0.388888888888889</v>
      </c>
      <c r="F190" s="84"/>
      <c r="H190" s="90" t="s">
        <v>1381</v>
      </c>
      <c r="I190" s="94">
        <v>18</v>
      </c>
    </row>
    <row r="191" spans="1:9">
      <c r="A191" s="89" t="s">
        <v>290</v>
      </c>
      <c r="B191" s="81">
        <f>SUM(B192:B196)</f>
        <v>1838</v>
      </c>
      <c r="C191" s="81">
        <f>SUM(C192:C196)</f>
        <v>569</v>
      </c>
      <c r="D191" s="82">
        <f t="shared" si="4"/>
        <v>0.309575625680087</v>
      </c>
      <c r="E191" s="83">
        <f t="shared" si="5"/>
        <v>0.205508474576271</v>
      </c>
      <c r="F191" s="84"/>
      <c r="H191" s="90" t="s">
        <v>290</v>
      </c>
      <c r="I191" s="94">
        <v>472</v>
      </c>
    </row>
    <row r="192" spans="1:9">
      <c r="A192" s="89" t="s">
        <v>291</v>
      </c>
      <c r="B192" s="81">
        <v>375</v>
      </c>
      <c r="C192" s="81">
        <v>154</v>
      </c>
      <c r="D192" s="82">
        <f t="shared" si="4"/>
        <v>0.410666666666667</v>
      </c>
      <c r="E192" s="83">
        <f t="shared" si="5"/>
        <v>0.509803921568627</v>
      </c>
      <c r="F192" s="84"/>
      <c r="H192" s="90" t="s">
        <v>1382</v>
      </c>
      <c r="I192" s="94">
        <v>102</v>
      </c>
    </row>
    <row r="193" spans="1:9">
      <c r="A193" s="89" t="s">
        <v>292</v>
      </c>
      <c r="B193" s="81">
        <v>492</v>
      </c>
      <c r="C193" s="81">
        <v>188</v>
      </c>
      <c r="D193" s="82">
        <f t="shared" si="4"/>
        <v>0.382113821138211</v>
      </c>
      <c r="E193" s="83">
        <f t="shared" si="5"/>
        <v>0.0867052023121387</v>
      </c>
      <c r="F193" s="84"/>
      <c r="H193" s="90" t="s">
        <v>1383</v>
      </c>
      <c r="I193" s="94">
        <v>173</v>
      </c>
    </row>
    <row r="194" spans="1:9">
      <c r="A194" s="89" t="s">
        <v>293</v>
      </c>
      <c r="B194" s="81">
        <v>12</v>
      </c>
      <c r="C194" s="81"/>
      <c r="D194" s="82">
        <f t="shared" si="4"/>
        <v>0</v>
      </c>
      <c r="E194" s="83">
        <f t="shared" si="5"/>
        <v>-1</v>
      </c>
      <c r="F194" s="84"/>
      <c r="H194" s="90" t="s">
        <v>1384</v>
      </c>
      <c r="I194" s="94">
        <v>48</v>
      </c>
    </row>
    <row r="195" spans="1:9">
      <c r="A195" s="89" t="s">
        <v>295</v>
      </c>
      <c r="B195" s="81">
        <v>267</v>
      </c>
      <c r="C195" s="81">
        <v>84</v>
      </c>
      <c r="D195" s="82">
        <f t="shared" si="4"/>
        <v>0.314606741573034</v>
      </c>
      <c r="E195" s="83">
        <f t="shared" si="5"/>
        <v>0.135135135135135</v>
      </c>
      <c r="F195" s="84"/>
      <c r="H195" s="90" t="s">
        <v>295</v>
      </c>
      <c r="I195" s="94">
        <v>74</v>
      </c>
    </row>
    <row r="196" spans="1:9">
      <c r="A196" s="89" t="s">
        <v>1385</v>
      </c>
      <c r="B196" s="81">
        <v>692</v>
      </c>
      <c r="C196" s="81">
        <v>143</v>
      </c>
      <c r="D196" s="82">
        <f t="shared" si="4"/>
        <v>0.206647398843931</v>
      </c>
      <c r="E196" s="83">
        <f t="shared" si="5"/>
        <v>0.906666666666667</v>
      </c>
      <c r="F196" s="84"/>
      <c r="H196" s="90" t="s">
        <v>1386</v>
      </c>
      <c r="I196" s="94">
        <v>75</v>
      </c>
    </row>
    <row r="197" spans="1:9">
      <c r="A197" s="89" t="s">
        <v>296</v>
      </c>
      <c r="B197" s="81">
        <f>SUM(B198:B200)</f>
        <v>313</v>
      </c>
      <c r="C197" s="81">
        <f>SUM(C198:C200)</f>
        <v>92</v>
      </c>
      <c r="D197" s="82">
        <f t="shared" ref="D197:D260" si="7">C197/B197</f>
        <v>0.293929712460064</v>
      </c>
      <c r="E197" s="83">
        <f t="shared" ref="E197:E257" si="8">(C197-I197)/I197</f>
        <v>1.04444444444444</v>
      </c>
      <c r="F197" s="84"/>
      <c r="H197" s="90" t="s">
        <v>296</v>
      </c>
      <c r="I197" s="94">
        <v>45</v>
      </c>
    </row>
    <row r="198" spans="1:9">
      <c r="A198" s="89" t="s">
        <v>1387</v>
      </c>
      <c r="B198" s="81"/>
      <c r="C198" s="81"/>
      <c r="D198" s="82"/>
      <c r="E198" s="83">
        <f t="shared" si="8"/>
        <v>-1</v>
      </c>
      <c r="F198" s="84"/>
      <c r="H198" s="90" t="s">
        <v>1388</v>
      </c>
      <c r="I198" s="94">
        <v>45</v>
      </c>
    </row>
    <row r="199" spans="1:9">
      <c r="A199" s="89" t="s">
        <v>1389</v>
      </c>
      <c r="B199" s="81"/>
      <c r="C199" s="81"/>
      <c r="D199" s="82"/>
      <c r="E199" s="83"/>
      <c r="F199" s="84"/>
      <c r="H199" s="90" t="s">
        <v>1390</v>
      </c>
      <c r="I199" s="94"/>
    </row>
    <row r="200" spans="1:9">
      <c r="A200" s="89" t="s">
        <v>1391</v>
      </c>
      <c r="B200" s="81">
        <v>313</v>
      </c>
      <c r="C200" s="81">
        <v>92</v>
      </c>
      <c r="D200" s="82">
        <f t="shared" si="7"/>
        <v>0.293929712460064</v>
      </c>
      <c r="E200" s="83"/>
      <c r="F200" s="84"/>
      <c r="H200" s="90" t="s">
        <v>1392</v>
      </c>
      <c r="I200" s="94"/>
    </row>
    <row r="201" spans="1:9">
      <c r="A201" s="97" t="s">
        <v>69</v>
      </c>
      <c r="B201" s="96">
        <f>SUM(B202,B208,B215,B220,B229,B230,B233,B236,B241,B247,B253,B256,B258,B261,B264,B266,B267,B270,B273,B275)</f>
        <v>53398</v>
      </c>
      <c r="C201" s="96">
        <f>SUM(C202,C208,C215,C220,C229,C230,C233,C236,C241,C247,C253,C256,C258,C261,C264,C266,C267,C270,C273,C275)</f>
        <v>31582</v>
      </c>
      <c r="D201" s="82">
        <f t="shared" si="7"/>
        <v>0.591445372485861</v>
      </c>
      <c r="E201" s="83">
        <f t="shared" si="8"/>
        <v>0.0113035960165231</v>
      </c>
      <c r="F201" s="84"/>
      <c r="H201" s="98" t="s">
        <v>69</v>
      </c>
      <c r="I201" s="52">
        <v>31229</v>
      </c>
    </row>
    <row r="202" spans="1:9">
      <c r="A202" s="89" t="s">
        <v>300</v>
      </c>
      <c r="B202" s="81">
        <f>SUM(B203:B207)</f>
        <v>4152</v>
      </c>
      <c r="C202" s="81">
        <f>SUM(C203:C207)</f>
        <v>1984</v>
      </c>
      <c r="D202" s="82">
        <f t="shared" si="7"/>
        <v>0.477842003853565</v>
      </c>
      <c r="E202" s="83">
        <f t="shared" si="8"/>
        <v>0.487256371814093</v>
      </c>
      <c r="F202" s="84"/>
      <c r="H202" s="90" t="s">
        <v>300</v>
      </c>
      <c r="I202" s="94">
        <v>1334</v>
      </c>
    </row>
    <row r="203" spans="1:9">
      <c r="A203" s="89" t="s">
        <v>152</v>
      </c>
      <c r="B203" s="81">
        <v>350</v>
      </c>
      <c r="C203" s="81">
        <v>170</v>
      </c>
      <c r="D203" s="82">
        <f t="shared" si="7"/>
        <v>0.485714285714286</v>
      </c>
      <c r="E203" s="83">
        <f t="shared" si="8"/>
        <v>-0.114583333333333</v>
      </c>
      <c r="F203" s="84"/>
      <c r="H203" s="90" t="s">
        <v>152</v>
      </c>
      <c r="I203" s="94">
        <v>192</v>
      </c>
    </row>
    <row r="204" spans="1:9">
      <c r="A204" s="89" t="s">
        <v>1393</v>
      </c>
      <c r="B204" s="81">
        <v>179</v>
      </c>
      <c r="C204" s="81">
        <v>81</v>
      </c>
      <c r="D204" s="82">
        <f t="shared" si="7"/>
        <v>0.452513966480447</v>
      </c>
      <c r="E204" s="83">
        <f t="shared" si="8"/>
        <v>0.472727272727273</v>
      </c>
      <c r="F204" s="84"/>
      <c r="H204" s="90" t="s">
        <v>1394</v>
      </c>
      <c r="I204" s="94">
        <v>55</v>
      </c>
    </row>
    <row r="205" spans="1:9">
      <c r="A205" s="89" t="s">
        <v>1395</v>
      </c>
      <c r="B205" s="81">
        <v>1553</v>
      </c>
      <c r="C205" s="81">
        <v>806</v>
      </c>
      <c r="D205" s="82">
        <f t="shared" si="7"/>
        <v>0.518995492594977</v>
      </c>
      <c r="E205" s="83">
        <f t="shared" si="8"/>
        <v>0.81941309255079</v>
      </c>
      <c r="F205" s="84"/>
      <c r="H205" s="90" t="s">
        <v>1396</v>
      </c>
      <c r="I205" s="94">
        <v>443</v>
      </c>
    </row>
    <row r="206" ht="15" customHeight="1" spans="1:9">
      <c r="A206" s="89" t="s">
        <v>1397</v>
      </c>
      <c r="B206" s="81">
        <v>145</v>
      </c>
      <c r="C206" s="81">
        <v>68</v>
      </c>
      <c r="D206" s="82">
        <f t="shared" si="7"/>
        <v>0.468965517241379</v>
      </c>
      <c r="E206" s="83"/>
      <c r="F206" s="84"/>
      <c r="H206" s="90"/>
      <c r="I206" s="94"/>
    </row>
    <row r="207" ht="15" customHeight="1" spans="1:9">
      <c r="A207" s="89" t="s">
        <v>1398</v>
      </c>
      <c r="B207" s="81">
        <v>1925</v>
      </c>
      <c r="C207" s="81">
        <v>859</v>
      </c>
      <c r="D207" s="82">
        <f t="shared" si="7"/>
        <v>0.446233766233766</v>
      </c>
      <c r="E207" s="83">
        <f t="shared" si="8"/>
        <v>0.333850931677019</v>
      </c>
      <c r="F207" s="84"/>
      <c r="H207" s="90" t="s">
        <v>1399</v>
      </c>
      <c r="I207" s="94">
        <v>644</v>
      </c>
    </row>
    <row r="208" spans="1:9">
      <c r="A208" s="89" t="s">
        <v>305</v>
      </c>
      <c r="B208" s="81">
        <f>SUM(B209:B214)</f>
        <v>560</v>
      </c>
      <c r="C208" s="81">
        <f>SUM(C209:C214)</f>
        <v>251</v>
      </c>
      <c r="D208" s="82">
        <f t="shared" si="7"/>
        <v>0.448214285714286</v>
      </c>
      <c r="E208" s="83">
        <f t="shared" si="8"/>
        <v>0.530487804878049</v>
      </c>
      <c r="F208" s="84"/>
      <c r="H208" s="90" t="s">
        <v>305</v>
      </c>
      <c r="I208" s="94">
        <v>164</v>
      </c>
    </row>
    <row r="209" spans="1:9">
      <c r="A209" s="89" t="s">
        <v>152</v>
      </c>
      <c r="B209" s="81">
        <v>118</v>
      </c>
      <c r="C209" s="81">
        <v>64</v>
      </c>
      <c r="D209" s="82">
        <f t="shared" si="7"/>
        <v>0.542372881355932</v>
      </c>
      <c r="E209" s="83">
        <f t="shared" si="8"/>
        <v>0.488372093023256</v>
      </c>
      <c r="F209" s="84"/>
      <c r="H209" s="90" t="s">
        <v>152</v>
      </c>
      <c r="I209" s="94">
        <v>43</v>
      </c>
    </row>
    <row r="210" spans="1:9">
      <c r="A210" s="89" t="s">
        <v>1400</v>
      </c>
      <c r="B210" s="81"/>
      <c r="C210" s="81"/>
      <c r="D210" s="82"/>
      <c r="E210" s="83"/>
      <c r="F210" s="84"/>
      <c r="H210" s="90" t="s">
        <v>1401</v>
      </c>
      <c r="I210" s="94"/>
    </row>
    <row r="211" spans="1:9">
      <c r="A211" s="89" t="s">
        <v>1402</v>
      </c>
      <c r="B211" s="81">
        <v>371</v>
      </c>
      <c r="C211" s="81">
        <v>181</v>
      </c>
      <c r="D211" s="82">
        <f t="shared" si="7"/>
        <v>0.487870619946092</v>
      </c>
      <c r="E211" s="83">
        <f t="shared" si="8"/>
        <v>0.547008547008547</v>
      </c>
      <c r="F211" s="84"/>
      <c r="H211" s="90" t="s">
        <v>1403</v>
      </c>
      <c r="I211" s="94">
        <v>117</v>
      </c>
    </row>
    <row r="212" spans="1:9">
      <c r="A212" s="89" t="s">
        <v>1404</v>
      </c>
      <c r="B212" s="81">
        <v>21</v>
      </c>
      <c r="C212" s="81"/>
      <c r="D212" s="82">
        <f t="shared" si="7"/>
        <v>0</v>
      </c>
      <c r="E212" s="83">
        <f t="shared" si="8"/>
        <v>-1</v>
      </c>
      <c r="F212" s="84"/>
      <c r="H212" s="91" t="s">
        <v>1405</v>
      </c>
      <c r="I212" s="94">
        <v>4</v>
      </c>
    </row>
    <row r="213" spans="1:9">
      <c r="A213" s="89" t="s">
        <v>1406</v>
      </c>
      <c r="B213" s="81">
        <f>182-142</f>
        <v>40</v>
      </c>
      <c r="C213" s="81"/>
      <c r="D213" s="82">
        <f t="shared" si="7"/>
        <v>0</v>
      </c>
      <c r="E213" s="83"/>
      <c r="F213" s="84"/>
      <c r="H213" s="90" t="s">
        <v>1407</v>
      </c>
      <c r="I213" s="94"/>
    </row>
    <row r="214" spans="1:9">
      <c r="A214" s="89" t="s">
        <v>1408</v>
      </c>
      <c r="B214" s="81">
        <v>10</v>
      </c>
      <c r="C214" s="81">
        <v>6</v>
      </c>
      <c r="D214" s="82">
        <f t="shared" si="7"/>
        <v>0.6</v>
      </c>
      <c r="E214" s="83"/>
      <c r="F214" s="84"/>
      <c r="H214" s="90" t="s">
        <v>1409</v>
      </c>
      <c r="I214" s="94"/>
    </row>
    <row r="215" spans="1:9">
      <c r="A215" s="89" t="s">
        <v>1410</v>
      </c>
      <c r="B215" s="81"/>
      <c r="C215" s="81"/>
      <c r="D215" s="82"/>
      <c r="E215" s="83"/>
      <c r="F215" s="84"/>
      <c r="H215" s="90" t="s">
        <v>1410</v>
      </c>
      <c r="I215" s="94"/>
    </row>
    <row r="216" spans="1:9">
      <c r="A216" s="89" t="s">
        <v>1411</v>
      </c>
      <c r="B216" s="81"/>
      <c r="C216" s="81"/>
      <c r="D216" s="82"/>
      <c r="E216" s="83"/>
      <c r="F216" s="84"/>
      <c r="H216" s="90" t="s">
        <v>1412</v>
      </c>
      <c r="I216" s="94"/>
    </row>
    <row r="217" spans="1:9">
      <c r="A217" s="89" t="s">
        <v>1413</v>
      </c>
      <c r="B217" s="81"/>
      <c r="C217" s="81"/>
      <c r="D217" s="82"/>
      <c r="E217" s="83"/>
      <c r="F217" s="84"/>
      <c r="H217" s="90" t="s">
        <v>1414</v>
      </c>
      <c r="I217" s="94"/>
    </row>
    <row r="218" ht="16.15" customHeight="1" spans="1:9">
      <c r="A218" s="89" t="s">
        <v>1415</v>
      </c>
      <c r="B218" s="81"/>
      <c r="C218" s="81"/>
      <c r="D218" s="82"/>
      <c r="E218" s="83"/>
      <c r="F218" s="84"/>
      <c r="H218" s="90" t="s">
        <v>1416</v>
      </c>
      <c r="I218" s="94"/>
    </row>
    <row r="219" ht="16.15" customHeight="1" spans="1:9">
      <c r="A219" s="89" t="s">
        <v>1417</v>
      </c>
      <c r="B219" s="81"/>
      <c r="C219" s="81"/>
      <c r="D219" s="82"/>
      <c r="E219" s="83"/>
      <c r="F219" s="84"/>
      <c r="H219" s="90" t="s">
        <v>1418</v>
      </c>
      <c r="I219" s="94"/>
    </row>
    <row r="220" spans="1:9">
      <c r="A220" s="89" t="s">
        <v>1419</v>
      </c>
      <c r="B220" s="81">
        <f>SUM(B221:B228)</f>
        <v>27090</v>
      </c>
      <c r="C220" s="81">
        <f>SUM(C221:C228)</f>
        <v>14777</v>
      </c>
      <c r="D220" s="82">
        <f t="shared" si="7"/>
        <v>0.545478036175711</v>
      </c>
      <c r="E220" s="83">
        <f t="shared" si="8"/>
        <v>0.0404139970428783</v>
      </c>
      <c r="F220" s="84"/>
      <c r="H220" s="90" t="s">
        <v>1419</v>
      </c>
      <c r="I220" s="94">
        <v>14203</v>
      </c>
    </row>
    <row r="221" spans="1:9">
      <c r="A221" s="89" t="s">
        <v>1420</v>
      </c>
      <c r="B221" s="81">
        <v>2089</v>
      </c>
      <c r="C221" s="81">
        <v>679</v>
      </c>
      <c r="D221" s="82">
        <f t="shared" si="7"/>
        <v>0.32503590234562</v>
      </c>
      <c r="E221" s="83">
        <f t="shared" si="8"/>
        <v>0.145025295109612</v>
      </c>
      <c r="F221" s="84"/>
      <c r="H221" s="90" t="s">
        <v>1421</v>
      </c>
      <c r="I221" s="94">
        <v>593</v>
      </c>
    </row>
    <row r="222" spans="1:9">
      <c r="A222" s="89" t="s">
        <v>1422</v>
      </c>
      <c r="B222" s="81">
        <v>2501</v>
      </c>
      <c r="C222" s="81">
        <v>214</v>
      </c>
      <c r="D222" s="82">
        <f t="shared" si="7"/>
        <v>0.0855657736905238</v>
      </c>
      <c r="E222" s="83">
        <f t="shared" si="8"/>
        <v>0.236994219653179</v>
      </c>
      <c r="F222" s="84"/>
      <c r="H222" s="90" t="s">
        <v>1423</v>
      </c>
      <c r="I222" s="94">
        <v>173</v>
      </c>
    </row>
    <row r="223" spans="1:9">
      <c r="A223" s="89" t="s">
        <v>1424</v>
      </c>
      <c r="B223" s="81">
        <v>288</v>
      </c>
      <c r="C223" s="81">
        <v>209</v>
      </c>
      <c r="D223" s="82">
        <f t="shared" si="7"/>
        <v>0.725694444444444</v>
      </c>
      <c r="E223" s="83">
        <f t="shared" si="8"/>
        <v>0.62015503875969</v>
      </c>
      <c r="F223" s="84"/>
      <c r="H223" s="90" t="s">
        <v>1425</v>
      </c>
      <c r="I223" s="94">
        <v>129</v>
      </c>
    </row>
    <row r="224" spans="1:9">
      <c r="A224" s="89" t="s">
        <v>1426</v>
      </c>
      <c r="B224" s="81">
        <v>18</v>
      </c>
      <c r="C224" s="81">
        <v>8</v>
      </c>
      <c r="D224" s="82">
        <f t="shared" si="7"/>
        <v>0.444444444444444</v>
      </c>
      <c r="E224" s="83">
        <f t="shared" si="8"/>
        <v>-0.2</v>
      </c>
      <c r="F224" s="84"/>
      <c r="H224" s="90" t="s">
        <v>1427</v>
      </c>
      <c r="I224" s="94">
        <v>10</v>
      </c>
    </row>
    <row r="225" spans="1:9">
      <c r="A225" s="89" t="s">
        <v>1428</v>
      </c>
      <c r="B225" s="81">
        <v>18951</v>
      </c>
      <c r="C225" s="81">
        <v>12155</v>
      </c>
      <c r="D225" s="82">
        <f t="shared" si="7"/>
        <v>0.641390955622395</v>
      </c>
      <c r="E225" s="83">
        <f t="shared" si="8"/>
        <v>-0.0344745412661848</v>
      </c>
      <c r="F225" s="84"/>
      <c r="H225" s="90" t="s">
        <v>1429</v>
      </c>
      <c r="I225" s="94">
        <v>12589</v>
      </c>
    </row>
    <row r="226" ht="13.5" customHeight="1" spans="1:9">
      <c r="A226" s="89" t="s">
        <v>1430</v>
      </c>
      <c r="B226" s="81">
        <v>1734</v>
      </c>
      <c r="C226" s="81">
        <v>211</v>
      </c>
      <c r="D226" s="82">
        <f t="shared" si="7"/>
        <v>0.121683967704729</v>
      </c>
      <c r="E226" s="83">
        <f t="shared" si="8"/>
        <v>0.406666666666667</v>
      </c>
      <c r="F226" s="84"/>
      <c r="H226" s="90" t="s">
        <v>1431</v>
      </c>
      <c r="I226" s="94">
        <v>150</v>
      </c>
    </row>
    <row r="227" spans="1:9">
      <c r="A227" s="89" t="s">
        <v>1432</v>
      </c>
      <c r="B227" s="81">
        <v>1213</v>
      </c>
      <c r="C227" s="81">
        <v>1213</v>
      </c>
      <c r="D227" s="82">
        <f t="shared" si="7"/>
        <v>1</v>
      </c>
      <c r="E227" s="83">
        <f t="shared" si="8"/>
        <v>1.51659751037344</v>
      </c>
      <c r="F227" s="84"/>
      <c r="H227" s="90" t="s">
        <v>1433</v>
      </c>
      <c r="I227" s="94">
        <v>482</v>
      </c>
    </row>
    <row r="228" spans="1:9">
      <c r="A228" s="89" t="s">
        <v>1434</v>
      </c>
      <c r="B228" s="81">
        <v>296</v>
      </c>
      <c r="C228" s="81">
        <v>88</v>
      </c>
      <c r="D228" s="82">
        <f t="shared" si="7"/>
        <v>0.297297297297297</v>
      </c>
      <c r="E228" s="83">
        <f t="shared" si="8"/>
        <v>0.142857142857143</v>
      </c>
      <c r="F228" s="84"/>
      <c r="H228" s="90" t="s">
        <v>1435</v>
      </c>
      <c r="I228" s="94">
        <v>77</v>
      </c>
    </row>
    <row r="229" spans="1:9">
      <c r="A229" s="89" t="s">
        <v>327</v>
      </c>
      <c r="B229" s="81"/>
      <c r="C229" s="81"/>
      <c r="D229" s="82"/>
      <c r="E229" s="83"/>
      <c r="F229" s="84"/>
      <c r="H229" s="90" t="s">
        <v>327</v>
      </c>
      <c r="I229" s="94"/>
    </row>
    <row r="230" spans="1:9">
      <c r="A230" s="89" t="s">
        <v>328</v>
      </c>
      <c r="B230" s="81">
        <f>SUM(B231:B232)</f>
        <v>440</v>
      </c>
      <c r="C230" s="81">
        <f>SUM(C231:C232)</f>
        <v>278</v>
      </c>
      <c r="D230" s="82">
        <f t="shared" si="7"/>
        <v>0.631818181818182</v>
      </c>
      <c r="E230" s="83">
        <f t="shared" si="8"/>
        <v>-0.179941002949853</v>
      </c>
      <c r="F230" s="84"/>
      <c r="H230" s="90" t="s">
        <v>328</v>
      </c>
      <c r="I230" s="94">
        <v>339</v>
      </c>
    </row>
    <row r="231" spans="1:9">
      <c r="A231" s="89" t="s">
        <v>1436</v>
      </c>
      <c r="B231" s="81"/>
      <c r="C231" s="81"/>
      <c r="D231" s="82"/>
      <c r="E231" s="83"/>
      <c r="F231" s="84"/>
      <c r="H231" s="90" t="s">
        <v>1437</v>
      </c>
      <c r="I231" s="94"/>
    </row>
    <row r="232" spans="1:9">
      <c r="A232" s="89" t="s">
        <v>1438</v>
      </c>
      <c r="B232" s="81">
        <v>440</v>
      </c>
      <c r="C232" s="81">
        <v>278</v>
      </c>
      <c r="D232" s="82">
        <f t="shared" si="7"/>
        <v>0.631818181818182</v>
      </c>
      <c r="E232" s="83">
        <f t="shared" si="8"/>
        <v>-0.179941002949853</v>
      </c>
      <c r="F232" s="84"/>
      <c r="H232" s="90" t="s">
        <v>1439</v>
      </c>
      <c r="I232" s="94">
        <v>339</v>
      </c>
    </row>
    <row r="233" ht="13.5" customHeight="1" spans="1:9">
      <c r="A233" s="89" t="s">
        <v>331</v>
      </c>
      <c r="B233" s="81">
        <f>SUM(B234:B235)</f>
        <v>2848</v>
      </c>
      <c r="C233" s="81">
        <f>SUM(C234:C235)</f>
        <v>2723</v>
      </c>
      <c r="D233" s="82">
        <f t="shared" si="7"/>
        <v>0.956109550561798</v>
      </c>
      <c r="E233" s="83">
        <f t="shared" si="8"/>
        <v>0.556</v>
      </c>
      <c r="F233" s="84"/>
      <c r="H233" s="90" t="s">
        <v>331</v>
      </c>
      <c r="I233" s="94">
        <v>1750</v>
      </c>
    </row>
    <row r="234" spans="1:9">
      <c r="A234" s="89" t="s">
        <v>335</v>
      </c>
      <c r="B234" s="81">
        <v>2179</v>
      </c>
      <c r="C234" s="81">
        <v>2161</v>
      </c>
      <c r="D234" s="82">
        <f t="shared" si="7"/>
        <v>0.991739329967875</v>
      </c>
      <c r="E234" s="83">
        <f t="shared" si="8"/>
        <v>0.701574803149606</v>
      </c>
      <c r="F234" s="84"/>
      <c r="H234" s="90" t="s">
        <v>1440</v>
      </c>
      <c r="I234" s="94">
        <v>1270</v>
      </c>
    </row>
    <row r="235" spans="1:9">
      <c r="A235" s="89" t="s">
        <v>336</v>
      </c>
      <c r="B235" s="81">
        <v>669</v>
      </c>
      <c r="C235" s="81">
        <v>562</v>
      </c>
      <c r="D235" s="82">
        <f t="shared" si="7"/>
        <v>0.840059790732436</v>
      </c>
      <c r="E235" s="83">
        <f t="shared" si="8"/>
        <v>0.170833333333333</v>
      </c>
      <c r="F235" s="84"/>
      <c r="H235" s="90" t="s">
        <v>1441</v>
      </c>
      <c r="I235" s="94">
        <v>480</v>
      </c>
    </row>
    <row r="236" spans="1:9">
      <c r="A236" s="89" t="s">
        <v>337</v>
      </c>
      <c r="B236" s="81">
        <f>SUM(B237:B240)</f>
        <v>192</v>
      </c>
      <c r="C236" s="81">
        <f>SUM(C237:C240)</f>
        <v>24</v>
      </c>
      <c r="D236" s="82">
        <f t="shared" si="7"/>
        <v>0.125</v>
      </c>
      <c r="E236" s="83">
        <f t="shared" si="8"/>
        <v>-0.727272727272727</v>
      </c>
      <c r="F236" s="84"/>
      <c r="H236" s="90" t="s">
        <v>337</v>
      </c>
      <c r="I236" s="94">
        <v>88</v>
      </c>
    </row>
    <row r="237" spans="1:9">
      <c r="A237" s="89" t="s">
        <v>338</v>
      </c>
      <c r="B237" s="81">
        <v>116</v>
      </c>
      <c r="C237" s="81">
        <v>10</v>
      </c>
      <c r="D237" s="82">
        <f t="shared" si="7"/>
        <v>0.0862068965517241</v>
      </c>
      <c r="E237" s="83">
        <f t="shared" si="8"/>
        <v>-0.811320754716981</v>
      </c>
      <c r="F237" s="84"/>
      <c r="H237" s="90" t="s">
        <v>1442</v>
      </c>
      <c r="I237" s="94">
        <v>53</v>
      </c>
    </row>
    <row r="238" spans="1:9">
      <c r="A238" s="89" t="s">
        <v>1443</v>
      </c>
      <c r="B238" s="81">
        <v>72</v>
      </c>
      <c r="C238" s="81">
        <v>13</v>
      </c>
      <c r="D238" s="82">
        <f t="shared" si="7"/>
        <v>0.180555555555556</v>
      </c>
      <c r="E238" s="83">
        <f t="shared" si="8"/>
        <v>-0.628571428571429</v>
      </c>
      <c r="F238" s="84"/>
      <c r="H238" s="90" t="s">
        <v>1444</v>
      </c>
      <c r="I238" s="94">
        <v>35</v>
      </c>
    </row>
    <row r="239" spans="1:9">
      <c r="A239" s="89" t="s">
        <v>1445</v>
      </c>
      <c r="B239" s="81">
        <v>4</v>
      </c>
      <c r="C239" s="81">
        <v>1</v>
      </c>
      <c r="D239" s="82">
        <f t="shared" si="7"/>
        <v>0.25</v>
      </c>
      <c r="E239" s="83"/>
      <c r="F239" s="84"/>
      <c r="H239" s="90" t="s">
        <v>1446</v>
      </c>
      <c r="I239" s="94"/>
    </row>
    <row r="240" spans="1:9">
      <c r="A240" s="89" t="s">
        <v>341</v>
      </c>
      <c r="B240" s="81"/>
      <c r="C240" s="81"/>
      <c r="D240" s="82"/>
      <c r="E240" s="83"/>
      <c r="F240" s="84"/>
      <c r="H240" s="90" t="s">
        <v>1447</v>
      </c>
      <c r="I240" s="94"/>
    </row>
    <row r="241" spans="1:9">
      <c r="A241" s="89" t="s">
        <v>342</v>
      </c>
      <c r="B241" s="81">
        <f>SUM(B242:B246)</f>
        <v>1734</v>
      </c>
      <c r="C241" s="81">
        <f>SUM(C242:C246)</f>
        <v>972</v>
      </c>
      <c r="D241" s="82">
        <f t="shared" si="7"/>
        <v>0.560553633217993</v>
      </c>
      <c r="E241" s="83">
        <f t="shared" si="8"/>
        <v>4.82035928143713</v>
      </c>
      <c r="F241" s="84"/>
      <c r="H241" s="90" t="s">
        <v>342</v>
      </c>
      <c r="I241" s="94">
        <v>167</v>
      </c>
    </row>
    <row r="242" spans="1:9">
      <c r="A242" s="89" t="s">
        <v>343</v>
      </c>
      <c r="B242" s="81">
        <v>338</v>
      </c>
      <c r="C242" s="81">
        <v>58</v>
      </c>
      <c r="D242" s="82">
        <f t="shared" si="7"/>
        <v>0.171597633136095</v>
      </c>
      <c r="E242" s="83">
        <f t="shared" si="8"/>
        <v>-0.159420289855072</v>
      </c>
      <c r="F242" s="84"/>
      <c r="H242" s="90" t="s">
        <v>1448</v>
      </c>
      <c r="I242" s="94">
        <v>69</v>
      </c>
    </row>
    <row r="243" spans="1:9">
      <c r="A243" s="89" t="s">
        <v>344</v>
      </c>
      <c r="B243" s="81">
        <v>448</v>
      </c>
      <c r="C243" s="81">
        <v>102</v>
      </c>
      <c r="D243" s="82">
        <f t="shared" si="7"/>
        <v>0.227678571428571</v>
      </c>
      <c r="E243" s="83"/>
      <c r="F243" s="84"/>
      <c r="H243" s="90" t="s">
        <v>1449</v>
      </c>
      <c r="I243" s="94"/>
    </row>
    <row r="244" spans="1:9">
      <c r="A244" s="89" t="s">
        <v>345</v>
      </c>
      <c r="B244" s="81">
        <v>132</v>
      </c>
      <c r="C244" s="81">
        <v>44</v>
      </c>
      <c r="D244" s="82">
        <f t="shared" si="7"/>
        <v>0.333333333333333</v>
      </c>
      <c r="E244" s="83">
        <f t="shared" si="8"/>
        <v>0.257142857142857</v>
      </c>
      <c r="F244" s="84"/>
      <c r="H244" s="90" t="s">
        <v>1450</v>
      </c>
      <c r="I244" s="94">
        <v>35</v>
      </c>
    </row>
    <row r="245" spans="1:9">
      <c r="A245" s="89" t="s">
        <v>346</v>
      </c>
      <c r="B245" s="81">
        <v>126</v>
      </c>
      <c r="C245" s="81">
        <v>78</v>
      </c>
      <c r="D245" s="82">
        <f t="shared" si="7"/>
        <v>0.619047619047619</v>
      </c>
      <c r="E245" s="83">
        <f t="shared" si="8"/>
        <v>0.238095238095238</v>
      </c>
      <c r="F245" s="84"/>
      <c r="H245" s="90" t="s">
        <v>1451</v>
      </c>
      <c r="I245" s="94">
        <v>63</v>
      </c>
    </row>
    <row r="246" spans="1:9">
      <c r="A246" s="89" t="s">
        <v>347</v>
      </c>
      <c r="B246" s="81">
        <v>690</v>
      </c>
      <c r="C246" s="81">
        <v>690</v>
      </c>
      <c r="D246" s="82">
        <f t="shared" si="7"/>
        <v>1</v>
      </c>
      <c r="E246" s="83"/>
      <c r="F246" s="84"/>
      <c r="H246" s="90" t="s">
        <v>1452</v>
      </c>
      <c r="I246" s="94"/>
    </row>
    <row r="247" spans="1:9">
      <c r="A247" s="89" t="s">
        <v>348</v>
      </c>
      <c r="B247" s="81">
        <f>SUM(B248:B252)</f>
        <v>1188</v>
      </c>
      <c r="C247" s="81">
        <f>SUM(C248:C252)</f>
        <v>263</v>
      </c>
      <c r="D247" s="82">
        <f t="shared" si="7"/>
        <v>0.221380471380471</v>
      </c>
      <c r="E247" s="83">
        <f t="shared" si="8"/>
        <v>0.0436507936507936</v>
      </c>
      <c r="F247" s="84"/>
      <c r="H247" s="90" t="s">
        <v>348</v>
      </c>
      <c r="I247" s="94">
        <v>252</v>
      </c>
    </row>
    <row r="248" spans="1:9">
      <c r="A248" s="89" t="s">
        <v>152</v>
      </c>
      <c r="B248" s="81">
        <v>92</v>
      </c>
      <c r="C248" s="81">
        <v>50</v>
      </c>
      <c r="D248" s="82">
        <f t="shared" si="7"/>
        <v>0.543478260869565</v>
      </c>
      <c r="E248" s="83">
        <f t="shared" si="8"/>
        <v>0.136363636363636</v>
      </c>
      <c r="F248" s="84"/>
      <c r="H248" s="90" t="s">
        <v>152</v>
      </c>
      <c r="I248" s="94">
        <v>44</v>
      </c>
    </row>
    <row r="249" spans="1:9">
      <c r="A249" s="89" t="s">
        <v>1453</v>
      </c>
      <c r="B249" s="81">
        <v>11</v>
      </c>
      <c r="C249" s="81"/>
      <c r="D249" s="82">
        <f t="shared" si="7"/>
        <v>0</v>
      </c>
      <c r="E249" s="83">
        <f t="shared" si="8"/>
        <v>-1</v>
      </c>
      <c r="F249" s="84"/>
      <c r="H249" s="90" t="s">
        <v>1454</v>
      </c>
      <c r="I249" s="94">
        <v>2</v>
      </c>
    </row>
    <row r="250" spans="1:9">
      <c r="A250" s="89" t="s">
        <v>1455</v>
      </c>
      <c r="B250" s="81">
        <v>17</v>
      </c>
      <c r="C250" s="81"/>
      <c r="D250" s="82">
        <f t="shared" si="7"/>
        <v>0</v>
      </c>
      <c r="E250" s="83"/>
      <c r="F250" s="84"/>
      <c r="H250" s="90" t="s">
        <v>1456</v>
      </c>
      <c r="I250" s="94"/>
    </row>
    <row r="251" spans="1:9">
      <c r="A251" s="89" t="s">
        <v>1457</v>
      </c>
      <c r="B251" s="81">
        <v>357</v>
      </c>
      <c r="C251" s="81">
        <v>166</v>
      </c>
      <c r="D251" s="82">
        <f t="shared" si="7"/>
        <v>0.464985994397759</v>
      </c>
      <c r="E251" s="83">
        <f t="shared" si="8"/>
        <v>6.90476190476191</v>
      </c>
      <c r="F251" s="84"/>
      <c r="H251" s="90" t="s">
        <v>1458</v>
      </c>
      <c r="I251" s="94">
        <v>21</v>
      </c>
    </row>
    <row r="252" spans="1:9">
      <c r="A252" s="89" t="s">
        <v>1459</v>
      </c>
      <c r="B252" s="81">
        <f>774-63</f>
        <v>711</v>
      </c>
      <c r="C252" s="81">
        <v>47</v>
      </c>
      <c r="D252" s="82">
        <f t="shared" si="7"/>
        <v>0.0661040787623066</v>
      </c>
      <c r="E252" s="83">
        <f t="shared" si="8"/>
        <v>-0.745945945945946</v>
      </c>
      <c r="F252" s="84"/>
      <c r="H252" s="90" t="s">
        <v>1460</v>
      </c>
      <c r="I252" s="94">
        <v>185</v>
      </c>
    </row>
    <row r="253" spans="1:9">
      <c r="A253" s="89" t="s">
        <v>360</v>
      </c>
      <c r="B253" s="81"/>
      <c r="C253" s="81">
        <v>206</v>
      </c>
      <c r="D253" s="82"/>
      <c r="E253" s="83">
        <f t="shared" si="8"/>
        <v>-0.0636363636363636</v>
      </c>
      <c r="F253" s="84"/>
      <c r="H253" s="91" t="s">
        <v>360</v>
      </c>
      <c r="I253" s="94">
        <v>220</v>
      </c>
    </row>
    <row r="254" spans="1:9">
      <c r="A254" s="89" t="s">
        <v>1461</v>
      </c>
      <c r="B254" s="81"/>
      <c r="C254" s="81">
        <v>194</v>
      </c>
      <c r="D254" s="82"/>
      <c r="E254" s="83">
        <f t="shared" si="8"/>
        <v>-0.0490196078431373</v>
      </c>
      <c r="F254" s="84"/>
      <c r="H254" s="91" t="s">
        <v>1461</v>
      </c>
      <c r="I254" s="94">
        <v>204</v>
      </c>
    </row>
    <row r="255" spans="1:9">
      <c r="A255" s="89" t="s">
        <v>1462</v>
      </c>
      <c r="B255" s="81"/>
      <c r="C255" s="81">
        <v>12</v>
      </c>
      <c r="D255" s="82"/>
      <c r="E255" s="83">
        <f t="shared" si="8"/>
        <v>-0.25</v>
      </c>
      <c r="F255" s="84"/>
      <c r="H255" s="90" t="s">
        <v>1463</v>
      </c>
      <c r="I255" s="94">
        <v>16</v>
      </c>
    </row>
    <row r="256" spans="1:9">
      <c r="A256" s="89" t="s">
        <v>363</v>
      </c>
      <c r="B256" s="81">
        <f>SUM(B257)</f>
        <v>39</v>
      </c>
      <c r="C256" s="81">
        <f>SUM(C257)</f>
        <v>20</v>
      </c>
      <c r="D256" s="82">
        <f t="shared" si="7"/>
        <v>0.512820512820513</v>
      </c>
      <c r="E256" s="83">
        <f t="shared" si="8"/>
        <v>0.428571428571429</v>
      </c>
      <c r="F256" s="84"/>
      <c r="H256" s="90" t="s">
        <v>363</v>
      </c>
      <c r="I256" s="94">
        <v>14</v>
      </c>
    </row>
    <row r="257" spans="1:9">
      <c r="A257" s="89" t="s">
        <v>152</v>
      </c>
      <c r="B257" s="81">
        <v>39</v>
      </c>
      <c r="C257" s="81">
        <v>20</v>
      </c>
      <c r="D257" s="82">
        <f t="shared" si="7"/>
        <v>0.512820512820513</v>
      </c>
      <c r="E257" s="83">
        <f t="shared" si="8"/>
        <v>0.428571428571429</v>
      </c>
      <c r="F257" s="84"/>
      <c r="H257" s="90" t="s">
        <v>1299</v>
      </c>
      <c r="I257" s="94">
        <v>14</v>
      </c>
    </row>
    <row r="258" spans="1:9">
      <c r="A258" s="89" t="s">
        <v>364</v>
      </c>
      <c r="B258" s="81">
        <f>SUM(B259:B260)</f>
        <v>3856</v>
      </c>
      <c r="C258" s="81">
        <f>SUM(C259:C260)</f>
        <v>434</v>
      </c>
      <c r="D258" s="82">
        <f t="shared" si="7"/>
        <v>0.112551867219917</v>
      </c>
      <c r="E258" s="83"/>
      <c r="F258" s="84"/>
      <c r="H258" s="90" t="s">
        <v>364</v>
      </c>
      <c r="I258" s="94"/>
    </row>
    <row r="259" spans="1:9">
      <c r="A259" s="89" t="s">
        <v>1464</v>
      </c>
      <c r="B259" s="81">
        <v>1756</v>
      </c>
      <c r="C259" s="81">
        <v>158</v>
      </c>
      <c r="D259" s="82">
        <f t="shared" si="7"/>
        <v>0.0899772209567198</v>
      </c>
      <c r="E259" s="83"/>
      <c r="F259" s="84"/>
      <c r="H259" s="90" t="s">
        <v>1465</v>
      </c>
      <c r="I259" s="94"/>
    </row>
    <row r="260" spans="1:9">
      <c r="A260" s="89" t="s">
        <v>1466</v>
      </c>
      <c r="B260" s="81">
        <v>2100</v>
      </c>
      <c r="C260" s="81">
        <v>276</v>
      </c>
      <c r="D260" s="82">
        <f t="shared" si="7"/>
        <v>0.131428571428571</v>
      </c>
      <c r="E260" s="83"/>
      <c r="F260" s="84"/>
      <c r="H260" s="90" t="s">
        <v>1467</v>
      </c>
      <c r="I260" s="94"/>
    </row>
    <row r="261" spans="1:9">
      <c r="A261" s="89" t="s">
        <v>357</v>
      </c>
      <c r="B261" s="81">
        <f>SUM(B262:B263)</f>
        <v>810</v>
      </c>
      <c r="C261" s="81">
        <f>SUM(C262:C263)</f>
        <v>0</v>
      </c>
      <c r="D261" s="82">
        <f t="shared" ref="D261:D324" si="9">C261/B261</f>
        <v>0</v>
      </c>
      <c r="E261" s="83"/>
      <c r="F261" s="84"/>
      <c r="H261" s="90" t="s">
        <v>357</v>
      </c>
      <c r="I261" s="94"/>
    </row>
    <row r="262" spans="1:9">
      <c r="A262" s="89" t="s">
        <v>358</v>
      </c>
      <c r="B262" s="81">
        <v>800</v>
      </c>
      <c r="C262" s="81"/>
      <c r="D262" s="82">
        <f t="shared" si="9"/>
        <v>0</v>
      </c>
      <c r="E262" s="83"/>
      <c r="F262" s="84"/>
      <c r="H262" s="90" t="s">
        <v>1468</v>
      </c>
      <c r="I262" s="94"/>
    </row>
    <row r="263" spans="1:9">
      <c r="A263" s="89" t="s">
        <v>359</v>
      </c>
      <c r="B263" s="81">
        <v>10</v>
      </c>
      <c r="C263" s="81"/>
      <c r="D263" s="82">
        <f t="shared" si="9"/>
        <v>0</v>
      </c>
      <c r="E263" s="83"/>
      <c r="F263" s="84"/>
      <c r="H263" s="90" t="s">
        <v>1469</v>
      </c>
      <c r="I263" s="94"/>
    </row>
    <row r="264" spans="1:9">
      <c r="A264" s="89" t="s">
        <v>354</v>
      </c>
      <c r="B264" s="81">
        <f>SUM(B265:B265)</f>
        <v>1064</v>
      </c>
      <c r="C264" s="81">
        <f>SUM(C265:C265)</f>
        <v>297</v>
      </c>
      <c r="D264" s="82">
        <f t="shared" si="9"/>
        <v>0.279135338345865</v>
      </c>
      <c r="E264" s="83">
        <f t="shared" ref="E264:E328" si="10">(C264-I264)/I264</f>
        <v>1.45454545454545</v>
      </c>
      <c r="F264" s="84"/>
      <c r="H264" s="90" t="s">
        <v>354</v>
      </c>
      <c r="I264" s="94">
        <v>121</v>
      </c>
    </row>
    <row r="265" spans="1:9">
      <c r="A265" s="89" t="s">
        <v>356</v>
      </c>
      <c r="B265" s="81">
        <v>1064</v>
      </c>
      <c r="C265" s="81">
        <v>297</v>
      </c>
      <c r="D265" s="82">
        <f t="shared" si="9"/>
        <v>0.279135338345865</v>
      </c>
      <c r="E265" s="83">
        <f t="shared" si="10"/>
        <v>1.45454545454545</v>
      </c>
      <c r="F265" s="84"/>
      <c r="H265" s="90" t="s">
        <v>356</v>
      </c>
      <c r="I265" s="94">
        <v>121</v>
      </c>
    </row>
    <row r="266" spans="1:9">
      <c r="A266" s="89" t="s">
        <v>370</v>
      </c>
      <c r="B266" s="81"/>
      <c r="C266" s="81"/>
      <c r="D266" s="82"/>
      <c r="E266" s="83"/>
      <c r="F266" s="84"/>
      <c r="H266" s="90" t="s">
        <v>370</v>
      </c>
      <c r="I266" s="94"/>
    </row>
    <row r="267" spans="1:9">
      <c r="A267" s="89" t="s">
        <v>367</v>
      </c>
      <c r="B267" s="81">
        <f>SUM(B268:B269)</f>
        <v>2632</v>
      </c>
      <c r="C267" s="81">
        <f>SUM(C268:C269)</f>
        <v>2531</v>
      </c>
      <c r="D267" s="82">
        <f t="shared" si="9"/>
        <v>0.961626139817629</v>
      </c>
      <c r="E267" s="83">
        <f t="shared" si="10"/>
        <v>1.66983122362869</v>
      </c>
      <c r="F267" s="84"/>
      <c r="H267" s="90" t="s">
        <v>367</v>
      </c>
      <c r="I267" s="94">
        <v>948</v>
      </c>
    </row>
    <row r="268" spans="1:9">
      <c r="A268" s="89" t="s">
        <v>1470</v>
      </c>
      <c r="B268" s="81"/>
      <c r="C268" s="81"/>
      <c r="D268" s="82"/>
      <c r="E268" s="83"/>
      <c r="F268" s="84"/>
      <c r="H268" s="90" t="s">
        <v>1471</v>
      </c>
      <c r="I268" s="94"/>
    </row>
    <row r="269" spans="1:9">
      <c r="A269" s="89" t="s">
        <v>1472</v>
      </c>
      <c r="B269" s="81">
        <v>2632</v>
      </c>
      <c r="C269" s="81">
        <v>2531</v>
      </c>
      <c r="D269" s="82">
        <f t="shared" si="9"/>
        <v>0.961626139817629</v>
      </c>
      <c r="E269" s="83">
        <f t="shared" si="10"/>
        <v>1.66983122362869</v>
      </c>
      <c r="F269" s="84"/>
      <c r="H269" s="90" t="s">
        <v>1473</v>
      </c>
      <c r="I269" s="94">
        <v>948</v>
      </c>
    </row>
    <row r="270" spans="1:9">
      <c r="A270" s="89" t="s">
        <v>1474</v>
      </c>
      <c r="B270" s="81">
        <f>SUM(B271:B272)</f>
        <v>6663</v>
      </c>
      <c r="C270" s="81">
        <f>SUM(C271:C272)</f>
        <v>6694</v>
      </c>
      <c r="D270" s="82">
        <f t="shared" si="9"/>
        <v>1.0046525589074</v>
      </c>
      <c r="E270" s="83">
        <f t="shared" si="10"/>
        <v>0.0125548328543337</v>
      </c>
      <c r="F270" s="84"/>
      <c r="H270" s="90" t="s">
        <v>1475</v>
      </c>
      <c r="I270" s="94">
        <v>6611</v>
      </c>
    </row>
    <row r="271" ht="15" customHeight="1" spans="1:9">
      <c r="A271" s="89" t="s">
        <v>1476</v>
      </c>
      <c r="B271" s="81">
        <f>30+87</f>
        <v>117</v>
      </c>
      <c r="C271" s="81"/>
      <c r="D271" s="82">
        <f t="shared" si="9"/>
        <v>0</v>
      </c>
      <c r="E271" s="83"/>
      <c r="F271" s="84"/>
      <c r="H271" s="90" t="s">
        <v>1477</v>
      </c>
      <c r="I271" s="94"/>
    </row>
    <row r="272" ht="15" customHeight="1" spans="1:9">
      <c r="A272" s="89" t="s">
        <v>1478</v>
      </c>
      <c r="B272" s="81">
        <v>6546</v>
      </c>
      <c r="C272" s="81">
        <v>6694</v>
      </c>
      <c r="D272" s="82">
        <f t="shared" si="9"/>
        <v>1.02260922700886</v>
      </c>
      <c r="E272" s="83">
        <f t="shared" si="10"/>
        <v>0.0125548328543337</v>
      </c>
      <c r="F272" s="84"/>
      <c r="H272" s="90" t="s">
        <v>1479</v>
      </c>
      <c r="I272" s="94">
        <v>6611</v>
      </c>
    </row>
    <row r="273" spans="1:9">
      <c r="A273" s="89" t="s">
        <v>1480</v>
      </c>
      <c r="B273" s="81">
        <f>SUM(B274)</f>
        <v>100</v>
      </c>
      <c r="C273" s="81">
        <f>SUM(C274)</f>
        <v>50</v>
      </c>
      <c r="D273" s="82">
        <f t="shared" si="9"/>
        <v>0.5</v>
      </c>
      <c r="E273" s="83">
        <f t="shared" si="10"/>
        <v>0</v>
      </c>
      <c r="F273" s="84"/>
      <c r="H273" s="90" t="s">
        <v>1481</v>
      </c>
      <c r="I273" s="94">
        <v>50</v>
      </c>
    </row>
    <row r="274" spans="1:9">
      <c r="A274" s="89" t="s">
        <v>1482</v>
      </c>
      <c r="B274" s="81">
        <v>100</v>
      </c>
      <c r="C274" s="81">
        <v>50</v>
      </c>
      <c r="D274" s="82">
        <f t="shared" si="9"/>
        <v>0.5</v>
      </c>
      <c r="E274" s="83">
        <f t="shared" si="10"/>
        <v>0</v>
      </c>
      <c r="F274" s="84"/>
      <c r="H274" s="90" t="s">
        <v>1483</v>
      </c>
      <c r="I274" s="94">
        <v>50</v>
      </c>
    </row>
    <row r="275" spans="1:9">
      <c r="A275" s="89" t="s">
        <v>371</v>
      </c>
      <c r="B275" s="81">
        <f>SUM(B276)</f>
        <v>30</v>
      </c>
      <c r="C275" s="81">
        <f>SUM(C276)</f>
        <v>78</v>
      </c>
      <c r="D275" s="82">
        <f t="shared" si="9"/>
        <v>2.6</v>
      </c>
      <c r="E275" s="83">
        <f t="shared" si="10"/>
        <v>-0.984299516908213</v>
      </c>
      <c r="F275" s="84"/>
      <c r="H275" s="90" t="s">
        <v>371</v>
      </c>
      <c r="I275" s="94">
        <v>4968</v>
      </c>
    </row>
    <row r="276" spans="1:9">
      <c r="A276" s="89" t="s">
        <v>372</v>
      </c>
      <c r="B276" s="81">
        <v>30</v>
      </c>
      <c r="C276" s="81">
        <v>78</v>
      </c>
      <c r="D276" s="82">
        <f t="shared" si="9"/>
        <v>2.6</v>
      </c>
      <c r="E276" s="83">
        <f t="shared" si="10"/>
        <v>-0.984299516908213</v>
      </c>
      <c r="F276" s="84"/>
      <c r="H276" s="90" t="s">
        <v>1484</v>
      </c>
      <c r="I276" s="94">
        <v>4968</v>
      </c>
    </row>
    <row r="277" spans="1:9">
      <c r="A277" s="97" t="s">
        <v>70</v>
      </c>
      <c r="B277" s="96">
        <f>SUM(B278,B281,B286,B290,B297,B300,B304,B309,B313,B316,B318,B321)</f>
        <v>19923</v>
      </c>
      <c r="C277" s="96">
        <f>SUM(C278,C281,C286,C290,C297,C300,C304,C309,C313,C316,C318,C321)</f>
        <v>10317</v>
      </c>
      <c r="D277" s="82">
        <f t="shared" si="9"/>
        <v>0.517843698238217</v>
      </c>
      <c r="E277" s="83">
        <f t="shared" si="10"/>
        <v>0.30943013072725</v>
      </c>
      <c r="F277" s="84"/>
      <c r="H277" s="98" t="s">
        <v>70</v>
      </c>
      <c r="I277" s="52">
        <v>7879</v>
      </c>
    </row>
    <row r="278" spans="1:9">
      <c r="A278" s="89" t="s">
        <v>373</v>
      </c>
      <c r="B278" s="81">
        <f>SUM(B279:B280)</f>
        <v>174</v>
      </c>
      <c r="C278" s="81">
        <f>SUM(C279:C280)</f>
        <v>94</v>
      </c>
      <c r="D278" s="82">
        <f t="shared" si="9"/>
        <v>0.540229885057471</v>
      </c>
      <c r="E278" s="83">
        <f t="shared" si="10"/>
        <v>0.160493827160494</v>
      </c>
      <c r="F278" s="84"/>
      <c r="H278" s="90" t="s">
        <v>373</v>
      </c>
      <c r="I278" s="94">
        <v>81</v>
      </c>
    </row>
    <row r="279" spans="1:9">
      <c r="A279" s="89" t="s">
        <v>152</v>
      </c>
      <c r="B279" s="81">
        <v>141</v>
      </c>
      <c r="C279" s="81">
        <v>67</v>
      </c>
      <c r="D279" s="82">
        <f t="shared" si="9"/>
        <v>0.475177304964539</v>
      </c>
      <c r="E279" s="83">
        <f t="shared" si="10"/>
        <v>-0.0563380281690141</v>
      </c>
      <c r="F279" s="84"/>
      <c r="H279" s="90" t="s">
        <v>1299</v>
      </c>
      <c r="I279" s="94">
        <v>71</v>
      </c>
    </row>
    <row r="280" ht="15" customHeight="1" spans="1:9">
      <c r="A280" s="89" t="s">
        <v>1485</v>
      </c>
      <c r="B280" s="81">
        <v>33</v>
      </c>
      <c r="C280" s="81">
        <v>27</v>
      </c>
      <c r="D280" s="82">
        <f t="shared" si="9"/>
        <v>0.818181818181818</v>
      </c>
      <c r="E280" s="83">
        <f t="shared" si="10"/>
        <v>1.7</v>
      </c>
      <c r="F280" s="84"/>
      <c r="H280" s="90" t="s">
        <v>1486</v>
      </c>
      <c r="I280" s="94">
        <v>10</v>
      </c>
    </row>
    <row r="281" spans="1:9">
      <c r="A281" s="89" t="s">
        <v>376</v>
      </c>
      <c r="B281" s="81">
        <f>SUM(B282:B285)</f>
        <v>6357</v>
      </c>
      <c r="C281" s="81">
        <f>SUM(C282:C285)</f>
        <v>2892</v>
      </c>
      <c r="D281" s="82">
        <f t="shared" si="9"/>
        <v>0.454931571495989</v>
      </c>
      <c r="E281" s="83">
        <f t="shared" si="10"/>
        <v>0.66685878962536</v>
      </c>
      <c r="F281" s="84"/>
      <c r="H281" s="90" t="s">
        <v>376</v>
      </c>
      <c r="I281" s="94">
        <v>1735</v>
      </c>
    </row>
    <row r="282" spans="1:9">
      <c r="A282" s="89" t="s">
        <v>1487</v>
      </c>
      <c r="B282" s="81">
        <v>4065</v>
      </c>
      <c r="C282" s="81">
        <v>2372</v>
      </c>
      <c r="D282" s="82">
        <f t="shared" si="9"/>
        <v>0.583517835178352</v>
      </c>
      <c r="E282" s="83">
        <f t="shared" si="10"/>
        <v>0.776779026217228</v>
      </c>
      <c r="F282" s="84"/>
      <c r="H282" s="90" t="s">
        <v>1488</v>
      </c>
      <c r="I282" s="94">
        <v>1335</v>
      </c>
    </row>
    <row r="283" spans="1:9">
      <c r="A283" s="89" t="s">
        <v>1489</v>
      </c>
      <c r="B283" s="81">
        <v>934</v>
      </c>
      <c r="C283" s="81">
        <v>502</v>
      </c>
      <c r="D283" s="82">
        <f t="shared" si="9"/>
        <v>0.537473233404711</v>
      </c>
      <c r="E283" s="83">
        <f t="shared" si="10"/>
        <v>0.255</v>
      </c>
      <c r="F283" s="84"/>
      <c r="H283" s="90" t="s">
        <v>1490</v>
      </c>
      <c r="I283" s="94">
        <v>400</v>
      </c>
    </row>
    <row r="284" spans="1:9">
      <c r="A284" s="89" t="s">
        <v>1491</v>
      </c>
      <c r="B284" s="81">
        <f>16+2</f>
        <v>18</v>
      </c>
      <c r="C284" s="81">
        <f>16+2</f>
        <v>18</v>
      </c>
      <c r="D284" s="82">
        <f t="shared" si="9"/>
        <v>1</v>
      </c>
      <c r="E284" s="83"/>
      <c r="F284" s="84"/>
      <c r="H284" s="90"/>
      <c r="I284" s="94"/>
    </row>
    <row r="285" spans="1:9">
      <c r="A285" s="89" t="s">
        <v>1492</v>
      </c>
      <c r="B285" s="81">
        <v>1340</v>
      </c>
      <c r="C285" s="81"/>
      <c r="D285" s="82">
        <f t="shared" si="9"/>
        <v>0</v>
      </c>
      <c r="E285" s="83"/>
      <c r="F285" s="84"/>
      <c r="H285" s="90" t="s">
        <v>1493</v>
      </c>
      <c r="I285" s="94"/>
    </row>
    <row r="286" spans="1:9">
      <c r="A286" s="89" t="s">
        <v>380</v>
      </c>
      <c r="B286" s="81">
        <f>SUM(B287:B289)</f>
        <v>3531</v>
      </c>
      <c r="C286" s="81">
        <f>SUM(C287:C289)</f>
        <v>1933</v>
      </c>
      <c r="D286" s="82">
        <f t="shared" si="9"/>
        <v>0.547436986689323</v>
      </c>
      <c r="E286" s="83">
        <f t="shared" si="10"/>
        <v>0.454477050413845</v>
      </c>
      <c r="F286" s="84"/>
      <c r="H286" s="90" t="s">
        <v>380</v>
      </c>
      <c r="I286" s="94">
        <v>1329</v>
      </c>
    </row>
    <row r="287" spans="1:9">
      <c r="A287" s="89" t="s">
        <v>1494</v>
      </c>
      <c r="B287" s="81">
        <v>821</v>
      </c>
      <c r="C287" s="81">
        <v>511</v>
      </c>
      <c r="D287" s="82">
        <f t="shared" si="9"/>
        <v>0.622411693057247</v>
      </c>
      <c r="E287" s="83">
        <f t="shared" si="10"/>
        <v>0.720538720538721</v>
      </c>
      <c r="F287" s="84"/>
      <c r="H287" s="90" t="s">
        <v>1495</v>
      </c>
      <c r="I287" s="94">
        <v>297</v>
      </c>
    </row>
    <row r="288" spans="1:9">
      <c r="A288" s="89" t="s">
        <v>1496</v>
      </c>
      <c r="B288" s="81">
        <v>2526</v>
      </c>
      <c r="C288" s="81">
        <v>1343</v>
      </c>
      <c r="D288" s="82">
        <f t="shared" si="9"/>
        <v>0.531670625494854</v>
      </c>
      <c r="E288" s="83">
        <f t="shared" si="10"/>
        <v>0.314090019569472</v>
      </c>
      <c r="F288" s="84"/>
      <c r="H288" s="90" t="s">
        <v>1497</v>
      </c>
      <c r="I288" s="94">
        <v>1022</v>
      </c>
    </row>
    <row r="289" spans="1:9">
      <c r="A289" s="89" t="s">
        <v>1498</v>
      </c>
      <c r="B289" s="81">
        <f>204-20</f>
        <v>184</v>
      </c>
      <c r="C289" s="81">
        <v>79</v>
      </c>
      <c r="D289" s="82">
        <f t="shared" si="9"/>
        <v>0.429347826086957</v>
      </c>
      <c r="E289" s="83">
        <f t="shared" si="10"/>
        <v>6.9</v>
      </c>
      <c r="F289" s="84"/>
      <c r="H289" s="90" t="s">
        <v>1499</v>
      </c>
      <c r="I289" s="94">
        <v>10</v>
      </c>
    </row>
    <row r="290" spans="1:9">
      <c r="A290" s="89" t="s">
        <v>384</v>
      </c>
      <c r="B290" s="81">
        <f>SUM(B291:B296)</f>
        <v>3885</v>
      </c>
      <c r="C290" s="81">
        <f>SUM(C291:C296)</f>
        <v>1356</v>
      </c>
      <c r="D290" s="82">
        <f t="shared" si="9"/>
        <v>0.349034749034749</v>
      </c>
      <c r="E290" s="83">
        <f t="shared" si="10"/>
        <v>0.36144578313253</v>
      </c>
      <c r="F290" s="84"/>
      <c r="H290" s="90" t="s">
        <v>384</v>
      </c>
      <c r="I290" s="94">
        <v>996</v>
      </c>
    </row>
    <row r="291" spans="1:9">
      <c r="A291" s="89" t="s">
        <v>385</v>
      </c>
      <c r="B291" s="81">
        <v>516</v>
      </c>
      <c r="C291" s="81">
        <v>303</v>
      </c>
      <c r="D291" s="82">
        <f t="shared" si="9"/>
        <v>0.587209302325581</v>
      </c>
      <c r="E291" s="83">
        <f t="shared" si="10"/>
        <v>0.655737704918033</v>
      </c>
      <c r="F291" s="84"/>
      <c r="H291" s="90" t="s">
        <v>1500</v>
      </c>
      <c r="I291" s="94">
        <v>183</v>
      </c>
    </row>
    <row r="292" spans="1:9">
      <c r="A292" s="89" t="s">
        <v>386</v>
      </c>
      <c r="B292" s="81">
        <v>555</v>
      </c>
      <c r="C292" s="81">
        <v>295</v>
      </c>
      <c r="D292" s="82">
        <f t="shared" si="9"/>
        <v>0.531531531531532</v>
      </c>
      <c r="E292" s="83">
        <f t="shared" si="10"/>
        <v>0.620879120879121</v>
      </c>
      <c r="F292" s="84"/>
      <c r="H292" s="90" t="s">
        <v>1501</v>
      </c>
      <c r="I292" s="94">
        <v>182</v>
      </c>
    </row>
    <row r="293" spans="1:9">
      <c r="A293" s="89" t="s">
        <v>387</v>
      </c>
      <c r="B293" s="81">
        <v>493</v>
      </c>
      <c r="C293" s="81">
        <v>261</v>
      </c>
      <c r="D293" s="82">
        <f t="shared" si="9"/>
        <v>0.529411764705882</v>
      </c>
      <c r="E293" s="83">
        <f t="shared" si="10"/>
        <v>0.305</v>
      </c>
      <c r="F293" s="84"/>
      <c r="H293" s="90" t="s">
        <v>1502</v>
      </c>
      <c r="I293" s="94">
        <v>200</v>
      </c>
    </row>
    <row r="294" spans="1:9">
      <c r="A294" s="89" t="s">
        <v>1503</v>
      </c>
      <c r="B294" s="81">
        <f>2222-2</f>
        <v>2220</v>
      </c>
      <c r="C294" s="81">
        <v>489</v>
      </c>
      <c r="D294" s="82">
        <f t="shared" si="9"/>
        <v>0.22027027027027</v>
      </c>
      <c r="E294" s="83">
        <f t="shared" si="10"/>
        <v>0.244274809160305</v>
      </c>
      <c r="F294" s="84"/>
      <c r="H294" s="90" t="s">
        <v>1504</v>
      </c>
      <c r="I294" s="94">
        <v>393</v>
      </c>
    </row>
    <row r="295" spans="1:9">
      <c r="A295" s="89" t="s">
        <v>1505</v>
      </c>
      <c r="B295" s="81">
        <f>184-83</f>
        <v>101</v>
      </c>
      <c r="C295" s="81">
        <v>8</v>
      </c>
      <c r="D295" s="82">
        <f t="shared" si="9"/>
        <v>0.0792079207920792</v>
      </c>
      <c r="E295" s="83">
        <f t="shared" si="10"/>
        <v>-0.789473684210526</v>
      </c>
      <c r="F295" s="84"/>
      <c r="H295" s="90" t="s">
        <v>1506</v>
      </c>
      <c r="I295" s="94">
        <v>38</v>
      </c>
    </row>
    <row r="296" spans="1:9">
      <c r="A296" s="89" t="s">
        <v>390</v>
      </c>
      <c r="B296" s="81"/>
      <c r="C296" s="81"/>
      <c r="D296" s="82"/>
      <c r="E296" s="83"/>
      <c r="F296" s="84"/>
      <c r="H296" s="90" t="s">
        <v>1507</v>
      </c>
      <c r="I296" s="94"/>
    </row>
    <row r="297" spans="1:9">
      <c r="A297" s="89" t="s">
        <v>391</v>
      </c>
      <c r="B297" s="81">
        <f>SUM(B298:B299)</f>
        <v>215</v>
      </c>
      <c r="C297" s="81">
        <f>SUM(C298:C299)</f>
        <v>144</v>
      </c>
      <c r="D297" s="82">
        <f t="shared" si="9"/>
        <v>0.669767441860465</v>
      </c>
      <c r="E297" s="83"/>
      <c r="F297" s="84"/>
      <c r="H297" s="90" t="s">
        <v>391</v>
      </c>
      <c r="I297" s="94"/>
    </row>
    <row r="298" spans="1:9">
      <c r="A298" s="89" t="s">
        <v>1508</v>
      </c>
      <c r="B298" s="81">
        <v>215</v>
      </c>
      <c r="C298" s="81">
        <v>144</v>
      </c>
      <c r="D298" s="82">
        <f t="shared" si="9"/>
        <v>0.669767441860465</v>
      </c>
      <c r="E298" s="83"/>
      <c r="F298" s="84"/>
      <c r="H298" s="90" t="s">
        <v>1509</v>
      </c>
      <c r="I298" s="94"/>
    </row>
    <row r="299" spans="1:9">
      <c r="A299" s="89" t="s">
        <v>1510</v>
      </c>
      <c r="B299" s="81"/>
      <c r="C299" s="81"/>
      <c r="D299" s="82"/>
      <c r="E299" s="83"/>
      <c r="F299" s="84"/>
      <c r="H299" s="90" t="s">
        <v>1511</v>
      </c>
      <c r="I299" s="94"/>
    </row>
    <row r="300" spans="1:9">
      <c r="A300" s="89" t="s">
        <v>394</v>
      </c>
      <c r="B300" s="81">
        <f>SUM(B301:B303)</f>
        <v>1227</v>
      </c>
      <c r="C300" s="81">
        <f>SUM(C301:C303)</f>
        <v>428</v>
      </c>
      <c r="D300" s="82">
        <f t="shared" si="9"/>
        <v>0.34881825590872</v>
      </c>
      <c r="E300" s="83">
        <f t="shared" si="10"/>
        <v>0.380645161290323</v>
      </c>
      <c r="F300" s="84"/>
      <c r="H300" s="90" t="s">
        <v>394</v>
      </c>
      <c r="I300" s="94">
        <v>310</v>
      </c>
    </row>
    <row r="301" spans="1:9">
      <c r="A301" s="89" t="s">
        <v>1512</v>
      </c>
      <c r="B301" s="81">
        <v>419</v>
      </c>
      <c r="C301" s="81">
        <v>176</v>
      </c>
      <c r="D301" s="82">
        <f t="shared" si="9"/>
        <v>0.420047732696897</v>
      </c>
      <c r="E301" s="83">
        <f t="shared" si="10"/>
        <v>0.0114942528735632</v>
      </c>
      <c r="F301" s="84"/>
      <c r="H301" s="90" t="s">
        <v>1513</v>
      </c>
      <c r="I301" s="94">
        <v>174</v>
      </c>
    </row>
    <row r="302" spans="1:9">
      <c r="A302" s="89" t="s">
        <v>1514</v>
      </c>
      <c r="B302" s="81"/>
      <c r="C302" s="81"/>
      <c r="D302" s="82"/>
      <c r="E302" s="83"/>
      <c r="F302" s="84"/>
      <c r="H302" s="90" t="s">
        <v>1515</v>
      </c>
      <c r="I302" s="94"/>
    </row>
    <row r="303" spans="1:9">
      <c r="A303" s="89" t="s">
        <v>1516</v>
      </c>
      <c r="B303" s="81">
        <f>814-6</f>
        <v>808</v>
      </c>
      <c r="C303" s="81">
        <v>252</v>
      </c>
      <c r="D303" s="82">
        <f t="shared" si="9"/>
        <v>0.311881188118812</v>
      </c>
      <c r="E303" s="83">
        <f t="shared" si="10"/>
        <v>0.852941176470588</v>
      </c>
      <c r="F303" s="84"/>
      <c r="H303" s="90" t="s">
        <v>1517</v>
      </c>
      <c r="I303" s="94">
        <v>136</v>
      </c>
    </row>
    <row r="304" spans="1:9">
      <c r="A304" s="89" t="s">
        <v>1518</v>
      </c>
      <c r="B304" s="81">
        <f>SUM(B305:B308)</f>
        <v>818</v>
      </c>
      <c r="C304" s="81">
        <f>SUM(C305:C308)</f>
        <v>439</v>
      </c>
      <c r="D304" s="82">
        <f t="shared" si="9"/>
        <v>0.536674816625917</v>
      </c>
      <c r="E304" s="83">
        <f t="shared" si="10"/>
        <v>0.519031141868512</v>
      </c>
      <c r="F304" s="84"/>
      <c r="H304" s="90" t="s">
        <v>1518</v>
      </c>
      <c r="I304" s="94">
        <v>289</v>
      </c>
    </row>
    <row r="305" spans="1:9">
      <c r="A305" s="89" t="s">
        <v>152</v>
      </c>
      <c r="B305" s="81">
        <v>248</v>
      </c>
      <c r="C305" s="81">
        <v>86</v>
      </c>
      <c r="D305" s="82">
        <f t="shared" si="9"/>
        <v>0.346774193548387</v>
      </c>
      <c r="E305" s="83">
        <f t="shared" si="10"/>
        <v>0.131578947368421</v>
      </c>
      <c r="F305" s="84"/>
      <c r="H305" s="90" t="s">
        <v>1289</v>
      </c>
      <c r="I305" s="94">
        <v>76</v>
      </c>
    </row>
    <row r="306" spans="1:9">
      <c r="A306" s="89" t="s">
        <v>1519</v>
      </c>
      <c r="B306" s="81"/>
      <c r="C306" s="81">
        <v>12</v>
      </c>
      <c r="D306" s="82"/>
      <c r="E306" s="83"/>
      <c r="F306" s="84"/>
      <c r="H306" s="90" t="s">
        <v>1520</v>
      </c>
      <c r="I306" s="94"/>
    </row>
    <row r="307" spans="1:9">
      <c r="A307" s="89" t="s">
        <v>119</v>
      </c>
      <c r="B307" s="81">
        <v>562</v>
      </c>
      <c r="C307" s="81">
        <v>333</v>
      </c>
      <c r="D307" s="82">
        <f t="shared" si="9"/>
        <v>0.592526690391459</v>
      </c>
      <c r="E307" s="83">
        <f t="shared" si="10"/>
        <v>0.608695652173913</v>
      </c>
      <c r="F307" s="84"/>
      <c r="H307" s="90" t="s">
        <v>1306</v>
      </c>
      <c r="I307" s="94">
        <v>207</v>
      </c>
    </row>
    <row r="308" spans="1:9">
      <c r="A308" s="89" t="s">
        <v>1521</v>
      </c>
      <c r="B308" s="81">
        <v>8</v>
      </c>
      <c r="C308" s="81">
        <v>8</v>
      </c>
      <c r="D308" s="82">
        <f t="shared" si="9"/>
        <v>1</v>
      </c>
      <c r="E308" s="83">
        <f t="shared" si="10"/>
        <v>0.333333333333333</v>
      </c>
      <c r="F308" s="84"/>
      <c r="H308" s="90" t="s">
        <v>1522</v>
      </c>
      <c r="I308" s="94">
        <v>6</v>
      </c>
    </row>
    <row r="309" spans="1:9">
      <c r="A309" s="89" t="s">
        <v>403</v>
      </c>
      <c r="B309" s="81">
        <f>SUM(B310:B312)</f>
        <v>653</v>
      </c>
      <c r="C309" s="81">
        <f>SUM(C310:C312)</f>
        <v>211</v>
      </c>
      <c r="D309" s="82">
        <f t="shared" si="9"/>
        <v>0.32312404287902</v>
      </c>
      <c r="E309" s="83">
        <f t="shared" si="10"/>
        <v>1.74025974025974</v>
      </c>
      <c r="F309" s="84"/>
      <c r="H309" s="90" t="s">
        <v>403</v>
      </c>
      <c r="I309" s="94">
        <v>77</v>
      </c>
    </row>
    <row r="310" spans="1:9">
      <c r="A310" s="89" t="s">
        <v>404</v>
      </c>
      <c r="B310" s="81">
        <v>208</v>
      </c>
      <c r="C310" s="81">
        <v>111</v>
      </c>
      <c r="D310" s="82">
        <f t="shared" si="9"/>
        <v>0.533653846153846</v>
      </c>
      <c r="E310" s="83">
        <f t="shared" si="10"/>
        <v>0.441558441558442</v>
      </c>
      <c r="F310" s="84"/>
      <c r="H310" s="90" t="s">
        <v>1523</v>
      </c>
      <c r="I310" s="94">
        <v>77</v>
      </c>
    </row>
    <row r="311" spans="1:9">
      <c r="A311" s="89" t="s">
        <v>405</v>
      </c>
      <c r="B311" s="81">
        <v>109</v>
      </c>
      <c r="C311" s="81"/>
      <c r="D311" s="82">
        <f t="shared" si="9"/>
        <v>0</v>
      </c>
      <c r="E311" s="83"/>
      <c r="F311" s="84"/>
      <c r="H311" s="90" t="s">
        <v>1524</v>
      </c>
      <c r="I311" s="94"/>
    </row>
    <row r="312" spans="1:9">
      <c r="A312" s="89" t="s">
        <v>406</v>
      </c>
      <c r="B312" s="81">
        <v>336</v>
      </c>
      <c r="C312" s="81">
        <v>100</v>
      </c>
      <c r="D312" s="82">
        <f t="shared" si="9"/>
        <v>0.297619047619048</v>
      </c>
      <c r="E312" s="83"/>
      <c r="F312" s="84"/>
      <c r="H312" s="90" t="s">
        <v>1525</v>
      </c>
      <c r="I312" s="94"/>
    </row>
    <row r="313" spans="1:9">
      <c r="A313" s="89" t="s">
        <v>407</v>
      </c>
      <c r="B313" s="81">
        <f>SUM(B314:B315)</f>
        <v>2074</v>
      </c>
      <c r="C313" s="81">
        <f>SUM(C314:C315)</f>
        <v>2079</v>
      </c>
      <c r="D313" s="82">
        <f t="shared" si="9"/>
        <v>1.00241080038573</v>
      </c>
      <c r="E313" s="83">
        <f t="shared" si="10"/>
        <v>0.190721649484536</v>
      </c>
      <c r="F313" s="84"/>
      <c r="H313" s="90" t="s">
        <v>1526</v>
      </c>
      <c r="I313" s="94">
        <v>1746</v>
      </c>
    </row>
    <row r="314" ht="16.15" customHeight="1" spans="1:9">
      <c r="A314" s="89" t="s">
        <v>1527</v>
      </c>
      <c r="B314" s="81">
        <v>2074</v>
      </c>
      <c r="C314" s="81">
        <v>2079</v>
      </c>
      <c r="D314" s="82">
        <f t="shared" si="9"/>
        <v>1.00241080038573</v>
      </c>
      <c r="E314" s="83">
        <f t="shared" si="10"/>
        <v>0.564334085778781</v>
      </c>
      <c r="F314" s="84"/>
      <c r="H314" s="90" t="s">
        <v>1528</v>
      </c>
      <c r="I314" s="94">
        <v>1329</v>
      </c>
    </row>
    <row r="315" ht="16.15" customHeight="1" spans="1:9">
      <c r="A315" s="89" t="s">
        <v>408</v>
      </c>
      <c r="B315" s="81"/>
      <c r="C315" s="81"/>
      <c r="D315" s="82"/>
      <c r="E315" s="83">
        <f t="shared" si="10"/>
        <v>-1</v>
      </c>
      <c r="F315" s="84"/>
      <c r="H315" s="91" t="s">
        <v>409</v>
      </c>
      <c r="I315" s="94">
        <v>417</v>
      </c>
    </row>
    <row r="316" spans="1:9">
      <c r="A316" s="89" t="s">
        <v>410</v>
      </c>
      <c r="B316" s="81">
        <f>SUM(B317)</f>
        <v>383</v>
      </c>
      <c r="C316" s="81">
        <f>SUM(C317)</f>
        <v>206</v>
      </c>
      <c r="D316" s="82">
        <f t="shared" si="9"/>
        <v>0.537859007832898</v>
      </c>
      <c r="E316" s="83">
        <f t="shared" si="10"/>
        <v>-0.556989247311828</v>
      </c>
      <c r="F316" s="84"/>
      <c r="H316" s="90" t="s">
        <v>1529</v>
      </c>
      <c r="I316" s="94">
        <v>465</v>
      </c>
    </row>
    <row r="317" spans="1:9">
      <c r="A317" s="89" t="s">
        <v>1530</v>
      </c>
      <c r="B317" s="81">
        <v>383</v>
      </c>
      <c r="C317" s="81">
        <v>206</v>
      </c>
      <c r="D317" s="82">
        <f t="shared" si="9"/>
        <v>0.537859007832898</v>
      </c>
      <c r="E317" s="83">
        <f t="shared" si="10"/>
        <v>-0.556989247311828</v>
      </c>
      <c r="F317" s="84"/>
      <c r="H317" s="90" t="s">
        <v>1531</v>
      </c>
      <c r="I317" s="94">
        <v>465</v>
      </c>
    </row>
    <row r="318" spans="1:9">
      <c r="A318" s="89" t="s">
        <v>412</v>
      </c>
      <c r="B318" s="81">
        <f>SUM(B319:B320)</f>
        <v>70</v>
      </c>
      <c r="C318" s="81">
        <f>SUM(C319:C320)</f>
        <v>25</v>
      </c>
      <c r="D318" s="82">
        <f t="shared" si="9"/>
        <v>0.357142857142857</v>
      </c>
      <c r="E318" s="83">
        <f t="shared" si="10"/>
        <v>-0.285714285714286</v>
      </c>
      <c r="F318" s="84"/>
      <c r="H318" s="90" t="s">
        <v>1532</v>
      </c>
      <c r="I318" s="94">
        <v>35</v>
      </c>
    </row>
    <row r="319" spans="1:9">
      <c r="A319" s="89" t="s">
        <v>1533</v>
      </c>
      <c r="B319" s="81">
        <v>70</v>
      </c>
      <c r="C319" s="81">
        <v>25</v>
      </c>
      <c r="D319" s="82">
        <f t="shared" si="9"/>
        <v>0.357142857142857</v>
      </c>
      <c r="E319" s="83">
        <f t="shared" si="10"/>
        <v>-0.285714285714286</v>
      </c>
      <c r="F319" s="84"/>
      <c r="H319" s="90" t="s">
        <v>1534</v>
      </c>
      <c r="I319" s="94">
        <v>35</v>
      </c>
    </row>
    <row r="320" spans="1:9">
      <c r="A320" s="89" t="s">
        <v>1535</v>
      </c>
      <c r="B320" s="81"/>
      <c r="C320" s="81"/>
      <c r="D320" s="82"/>
      <c r="E320" s="83"/>
      <c r="F320" s="84"/>
      <c r="H320" s="90" t="s">
        <v>1536</v>
      </c>
      <c r="I320" s="94"/>
    </row>
    <row r="321" spans="1:9">
      <c r="A321" s="89" t="s">
        <v>414</v>
      </c>
      <c r="B321" s="81">
        <f>SUM(B322)</f>
        <v>536</v>
      </c>
      <c r="C321" s="81">
        <f t="shared" ref="C321:C326" si="11">SUM(C322)</f>
        <v>510</v>
      </c>
      <c r="D321" s="82">
        <f t="shared" si="9"/>
        <v>0.951492537313433</v>
      </c>
      <c r="E321" s="83">
        <f t="shared" si="10"/>
        <v>-0.375</v>
      </c>
      <c r="F321" s="84"/>
      <c r="H321" s="90" t="s">
        <v>414</v>
      </c>
      <c r="I321" s="94">
        <v>816</v>
      </c>
    </row>
    <row r="322" spans="1:9">
      <c r="A322" s="89" t="s">
        <v>415</v>
      </c>
      <c r="B322" s="81">
        <v>536</v>
      </c>
      <c r="C322" s="81">
        <v>510</v>
      </c>
      <c r="D322" s="82">
        <f t="shared" si="9"/>
        <v>0.951492537313433</v>
      </c>
      <c r="E322" s="83">
        <f t="shared" si="10"/>
        <v>-0.375</v>
      </c>
      <c r="F322" s="84"/>
      <c r="H322" s="90" t="s">
        <v>1537</v>
      </c>
      <c r="I322" s="94">
        <v>816</v>
      </c>
    </row>
    <row r="323" spans="1:9">
      <c r="A323" s="102" t="s">
        <v>71</v>
      </c>
      <c r="B323" s="96">
        <f>SUM(B324,B326,B328,B333,B335,B338,B341,B342,B343,B344,B346,B348,B349,B350,B351,B352)</f>
        <v>3836</v>
      </c>
      <c r="C323" s="96">
        <f>SUM(C324,C326,C328,C333,C335,C338,C341,C342,C343,C344,C346,C348,C349,C350,C351,C352)</f>
        <v>1410</v>
      </c>
      <c r="D323" s="82">
        <f t="shared" si="9"/>
        <v>0.367570385818561</v>
      </c>
      <c r="E323" s="83">
        <f t="shared" si="10"/>
        <v>-0.0126050420168067</v>
      </c>
      <c r="F323" s="84"/>
      <c r="H323" s="103" t="s">
        <v>71</v>
      </c>
      <c r="I323" s="52">
        <v>1428</v>
      </c>
    </row>
    <row r="324" spans="1:9">
      <c r="A324" s="89" t="s">
        <v>416</v>
      </c>
      <c r="B324" s="81">
        <f>SUM(B325)</f>
        <v>434</v>
      </c>
      <c r="C324" s="81">
        <f t="shared" si="11"/>
        <v>105</v>
      </c>
      <c r="D324" s="82">
        <f t="shared" si="9"/>
        <v>0.241935483870968</v>
      </c>
      <c r="E324" s="83">
        <f t="shared" si="10"/>
        <v>0.129032258064516</v>
      </c>
      <c r="F324" s="84"/>
      <c r="H324" s="90" t="s">
        <v>416</v>
      </c>
      <c r="I324" s="94">
        <v>93</v>
      </c>
    </row>
    <row r="325" spans="1:9">
      <c r="A325" s="89" t="s">
        <v>152</v>
      </c>
      <c r="B325" s="81">
        <v>434</v>
      </c>
      <c r="C325" s="81">
        <v>105</v>
      </c>
      <c r="D325" s="82">
        <f t="shared" ref="D325:D387" si="12">C325/B325</f>
        <v>0.241935483870968</v>
      </c>
      <c r="E325" s="83">
        <f t="shared" si="10"/>
        <v>0.129032258064516</v>
      </c>
      <c r="F325" s="84"/>
      <c r="H325" s="90" t="s">
        <v>1289</v>
      </c>
      <c r="I325" s="94">
        <v>93</v>
      </c>
    </row>
    <row r="326" spans="1:9">
      <c r="A326" s="89" t="s">
        <v>419</v>
      </c>
      <c r="B326" s="81">
        <f>SUM(B327)</f>
        <v>1601</v>
      </c>
      <c r="C326" s="81">
        <f t="shared" si="11"/>
        <v>610</v>
      </c>
      <c r="D326" s="82">
        <f t="shared" si="12"/>
        <v>0.381011867582761</v>
      </c>
      <c r="E326" s="83">
        <f t="shared" si="10"/>
        <v>0.0499139414802065</v>
      </c>
      <c r="F326" s="84"/>
      <c r="H326" s="90" t="s">
        <v>419</v>
      </c>
      <c r="I326" s="94">
        <v>581</v>
      </c>
    </row>
    <row r="327" spans="1:9">
      <c r="A327" s="89" t="s">
        <v>1538</v>
      </c>
      <c r="B327" s="81">
        <v>1601</v>
      </c>
      <c r="C327" s="81">
        <v>610</v>
      </c>
      <c r="D327" s="82">
        <f t="shared" si="12"/>
        <v>0.381011867582761</v>
      </c>
      <c r="E327" s="83">
        <f t="shared" si="10"/>
        <v>0.0499139414802065</v>
      </c>
      <c r="F327" s="84"/>
      <c r="H327" s="90" t="s">
        <v>1539</v>
      </c>
      <c r="I327" s="94">
        <v>581</v>
      </c>
    </row>
    <row r="328" spans="1:9">
      <c r="A328" s="89" t="s">
        <v>421</v>
      </c>
      <c r="B328" s="81">
        <f>SUM(B329:B332)</f>
        <v>1467</v>
      </c>
      <c r="C328" s="81">
        <f>SUM(C329:C332)</f>
        <v>684</v>
      </c>
      <c r="D328" s="82">
        <f t="shared" si="12"/>
        <v>0.466257668711656</v>
      </c>
      <c r="E328" s="83">
        <f t="shared" si="10"/>
        <v>3.75</v>
      </c>
      <c r="F328" s="84"/>
      <c r="H328" s="90" t="s">
        <v>421</v>
      </c>
      <c r="I328" s="94">
        <v>144</v>
      </c>
    </row>
    <row r="329" spans="1:9">
      <c r="A329" s="89" t="s">
        <v>422</v>
      </c>
      <c r="B329" s="81">
        <v>275</v>
      </c>
      <c r="C329" s="81"/>
      <c r="D329" s="82">
        <f t="shared" si="12"/>
        <v>0</v>
      </c>
      <c r="E329" s="83"/>
      <c r="F329" s="84"/>
      <c r="H329" s="90" t="s">
        <v>1540</v>
      </c>
      <c r="I329" s="94"/>
    </row>
    <row r="330" spans="1:9">
      <c r="A330" s="89" t="s">
        <v>1541</v>
      </c>
      <c r="B330" s="81">
        <v>562</v>
      </c>
      <c r="C330" s="81">
        <v>270</v>
      </c>
      <c r="D330" s="82">
        <f t="shared" si="12"/>
        <v>0.480427046263345</v>
      </c>
      <c r="E330" s="83"/>
      <c r="F330" s="84"/>
      <c r="H330" s="90"/>
      <c r="I330" s="94"/>
    </row>
    <row r="331" spans="1:9">
      <c r="A331" s="89" t="s">
        <v>1542</v>
      </c>
      <c r="B331" s="81">
        <v>630</v>
      </c>
      <c r="C331" s="81">
        <v>414</v>
      </c>
      <c r="D331" s="82">
        <f t="shared" si="12"/>
        <v>0.657142857142857</v>
      </c>
      <c r="E331" s="83">
        <f>(C331-I331)/I331</f>
        <v>3.40425531914894</v>
      </c>
      <c r="F331" s="84"/>
      <c r="H331" s="90" t="s">
        <v>1543</v>
      </c>
      <c r="I331" s="94">
        <v>94</v>
      </c>
    </row>
    <row r="332" spans="1:9">
      <c r="A332" s="89" t="s">
        <v>425</v>
      </c>
      <c r="B332" s="81"/>
      <c r="C332" s="81"/>
      <c r="D332" s="82"/>
      <c r="E332" s="83">
        <f>(C332-I332)/I332</f>
        <v>-1</v>
      </c>
      <c r="F332" s="84"/>
      <c r="H332" s="90" t="s">
        <v>1544</v>
      </c>
      <c r="I332" s="94">
        <v>50</v>
      </c>
    </row>
    <row r="333" spans="1:9">
      <c r="A333" s="89" t="s">
        <v>426</v>
      </c>
      <c r="B333" s="81"/>
      <c r="C333" s="81"/>
      <c r="D333" s="82"/>
      <c r="E333" s="83"/>
      <c r="F333" s="84"/>
      <c r="H333" s="90" t="s">
        <v>426</v>
      </c>
      <c r="I333" s="94"/>
    </row>
    <row r="334" spans="1:9">
      <c r="A334" s="89" t="s">
        <v>1545</v>
      </c>
      <c r="B334" s="81"/>
      <c r="C334" s="81"/>
      <c r="D334" s="82"/>
      <c r="E334" s="83"/>
      <c r="F334" s="84"/>
      <c r="H334" s="91" t="s">
        <v>1546</v>
      </c>
      <c r="I334" s="94"/>
    </row>
    <row r="335" spans="1:9">
      <c r="A335" s="89" t="s">
        <v>428</v>
      </c>
      <c r="B335" s="81">
        <f>SUM(B336:B337)</f>
        <v>27</v>
      </c>
      <c r="C335" s="81">
        <f>SUM(C336:C337)</f>
        <v>0</v>
      </c>
      <c r="D335" s="82">
        <f t="shared" si="12"/>
        <v>0</v>
      </c>
      <c r="E335" s="83"/>
      <c r="F335" s="84"/>
      <c r="H335" s="90" t="s">
        <v>428</v>
      </c>
      <c r="I335" s="94"/>
    </row>
    <row r="336" spans="1:9">
      <c r="A336" s="89" t="s">
        <v>1547</v>
      </c>
      <c r="B336" s="81"/>
      <c r="C336" s="81"/>
      <c r="D336" s="82"/>
      <c r="E336" s="83"/>
      <c r="F336" s="84"/>
      <c r="H336" s="90" t="s">
        <v>1548</v>
      </c>
      <c r="I336" s="94"/>
    </row>
    <row r="337" spans="1:9">
      <c r="A337" s="89" t="s">
        <v>1549</v>
      </c>
      <c r="B337" s="81">
        <f>32-5</f>
        <v>27</v>
      </c>
      <c r="C337" s="81"/>
      <c r="D337" s="82">
        <f t="shared" si="12"/>
        <v>0</v>
      </c>
      <c r="E337" s="83"/>
      <c r="F337" s="84"/>
      <c r="H337" s="90" t="s">
        <v>1550</v>
      </c>
      <c r="I337" s="94"/>
    </row>
    <row r="338" spans="1:9">
      <c r="A338" s="89" t="s">
        <v>434</v>
      </c>
      <c r="B338" s="81">
        <f>SUM(B339:B340)</f>
        <v>177</v>
      </c>
      <c r="C338" s="81">
        <f>SUM(C339:C340)</f>
        <v>11</v>
      </c>
      <c r="D338" s="82">
        <f t="shared" si="12"/>
        <v>0.0621468926553672</v>
      </c>
      <c r="E338" s="83">
        <f>(C338-I338)/I338</f>
        <v>-0.981967213114754</v>
      </c>
      <c r="F338" s="84"/>
      <c r="H338" s="90" t="s">
        <v>434</v>
      </c>
      <c r="I338" s="94">
        <v>610</v>
      </c>
    </row>
    <row r="339" spans="1:9">
      <c r="A339" s="89" t="s">
        <v>1551</v>
      </c>
      <c r="B339" s="81">
        <v>162</v>
      </c>
      <c r="C339" s="81"/>
      <c r="D339" s="82">
        <f t="shared" si="12"/>
        <v>0</v>
      </c>
      <c r="E339" s="83">
        <f>(C339-I339)/I339</f>
        <v>-1</v>
      </c>
      <c r="F339" s="84"/>
      <c r="H339" s="90" t="s">
        <v>1552</v>
      </c>
      <c r="I339" s="94">
        <v>610</v>
      </c>
    </row>
    <row r="340" spans="1:9">
      <c r="A340" s="89" t="s">
        <v>1553</v>
      </c>
      <c r="B340" s="81">
        <v>15</v>
      </c>
      <c r="C340" s="81">
        <v>11</v>
      </c>
      <c r="D340" s="82">
        <f t="shared" si="12"/>
        <v>0.733333333333333</v>
      </c>
      <c r="E340" s="83"/>
      <c r="F340" s="84"/>
      <c r="H340" s="90"/>
      <c r="I340" s="94"/>
    </row>
    <row r="341" spans="1:9">
      <c r="A341" s="89" t="s">
        <v>437</v>
      </c>
      <c r="B341" s="81"/>
      <c r="C341" s="81"/>
      <c r="D341" s="82"/>
      <c r="E341" s="83"/>
      <c r="F341" s="84"/>
      <c r="H341" s="90" t="s">
        <v>437</v>
      </c>
      <c r="I341" s="94"/>
    </row>
    <row r="342" spans="1:9">
      <c r="A342" s="89" t="s">
        <v>438</v>
      </c>
      <c r="B342" s="81"/>
      <c r="C342" s="81"/>
      <c r="D342" s="82"/>
      <c r="E342" s="83"/>
      <c r="F342" s="84"/>
      <c r="H342" s="90" t="s">
        <v>438</v>
      </c>
      <c r="I342" s="94"/>
    </row>
    <row r="343" spans="1:9">
      <c r="A343" s="89" t="s">
        <v>439</v>
      </c>
      <c r="B343" s="81"/>
      <c r="C343" s="81"/>
      <c r="D343" s="82"/>
      <c r="E343" s="83"/>
      <c r="F343" s="84"/>
      <c r="H343" s="90" t="s">
        <v>439</v>
      </c>
      <c r="I343" s="94"/>
    </row>
    <row r="344" spans="1:9">
      <c r="A344" s="89" t="s">
        <v>440</v>
      </c>
      <c r="B344" s="81">
        <f>SUM(B345)</f>
        <v>130</v>
      </c>
      <c r="C344" s="81">
        <f>SUM(C345)</f>
        <v>0</v>
      </c>
      <c r="D344" s="82">
        <f t="shared" si="12"/>
        <v>0</v>
      </c>
      <c r="E344" s="83"/>
      <c r="F344" s="84"/>
      <c r="H344" s="90" t="s">
        <v>440</v>
      </c>
      <c r="I344" s="94"/>
    </row>
    <row r="345" spans="1:9">
      <c r="A345" s="89" t="s">
        <v>1554</v>
      </c>
      <c r="B345" s="81">
        <f>207-77</f>
        <v>130</v>
      </c>
      <c r="C345" s="81"/>
      <c r="D345" s="82">
        <f t="shared" si="12"/>
        <v>0</v>
      </c>
      <c r="E345" s="83"/>
      <c r="F345" s="84"/>
      <c r="H345" s="90" t="s">
        <v>1555</v>
      </c>
      <c r="I345" s="94"/>
    </row>
    <row r="346" spans="1:9">
      <c r="A346" s="89" t="s">
        <v>442</v>
      </c>
      <c r="B346" s="81"/>
      <c r="C346" s="81"/>
      <c r="D346" s="82"/>
      <c r="E346" s="83"/>
      <c r="F346" s="84"/>
      <c r="H346" s="90" t="s">
        <v>442</v>
      </c>
      <c r="I346" s="94"/>
    </row>
    <row r="347" spans="1:9">
      <c r="A347" s="89" t="s">
        <v>443</v>
      </c>
      <c r="B347" s="81"/>
      <c r="C347" s="81"/>
      <c r="D347" s="82"/>
      <c r="E347" s="83"/>
      <c r="F347" s="84"/>
      <c r="H347" s="90" t="s">
        <v>1556</v>
      </c>
      <c r="I347" s="94"/>
    </row>
    <row r="348" spans="1:9">
      <c r="A348" s="89" t="s">
        <v>445</v>
      </c>
      <c r="B348" s="81"/>
      <c r="C348" s="81"/>
      <c r="D348" s="82"/>
      <c r="E348" s="83"/>
      <c r="F348" s="84"/>
      <c r="H348" s="90" t="s">
        <v>445</v>
      </c>
      <c r="I348" s="94"/>
    </row>
    <row r="349" spans="1:9">
      <c r="A349" s="89" t="s">
        <v>446</v>
      </c>
      <c r="B349" s="81"/>
      <c r="C349" s="81"/>
      <c r="D349" s="82"/>
      <c r="E349" s="83"/>
      <c r="F349" s="84"/>
      <c r="H349" s="90" t="s">
        <v>446</v>
      </c>
      <c r="I349" s="94"/>
    </row>
    <row r="350" spans="1:9">
      <c r="A350" s="89" t="s">
        <v>447</v>
      </c>
      <c r="B350" s="81"/>
      <c r="C350" s="81"/>
      <c r="D350" s="82"/>
      <c r="E350" s="83"/>
      <c r="F350" s="84"/>
      <c r="H350" s="90" t="s">
        <v>447</v>
      </c>
      <c r="I350" s="94"/>
    </row>
    <row r="351" spans="1:9">
      <c r="A351" s="89" t="s">
        <v>448</v>
      </c>
      <c r="B351" s="81"/>
      <c r="C351" s="81"/>
      <c r="D351" s="82"/>
      <c r="E351" s="83"/>
      <c r="F351" s="84"/>
      <c r="H351" s="90" t="s">
        <v>448</v>
      </c>
      <c r="I351" s="94"/>
    </row>
    <row r="352" spans="1:9">
      <c r="A352" s="89" t="s">
        <v>449</v>
      </c>
      <c r="B352" s="81"/>
      <c r="C352" s="81"/>
      <c r="D352" s="82"/>
      <c r="E352" s="83"/>
      <c r="F352" s="84"/>
      <c r="H352" s="90" t="s">
        <v>449</v>
      </c>
      <c r="I352" s="94"/>
    </row>
    <row r="353" spans="1:9">
      <c r="A353" s="99" t="s">
        <v>1557</v>
      </c>
      <c r="B353" s="96">
        <f>SUM(B354,B358,B360,B363,B365,B367)</f>
        <v>53985</v>
      </c>
      <c r="C353" s="96">
        <f>SUM(C354,C358,C360,C363,C365,C367)</f>
        <v>44755</v>
      </c>
      <c r="D353" s="82">
        <f t="shared" si="12"/>
        <v>0.829026581457812</v>
      </c>
      <c r="E353" s="83">
        <f t="shared" ref="E353:E366" si="13">(C353-I353)/I353</f>
        <v>1.25761702986279</v>
      </c>
      <c r="F353" s="84"/>
      <c r="H353" s="100" t="s">
        <v>1557</v>
      </c>
      <c r="I353" s="52">
        <v>19824</v>
      </c>
    </row>
    <row r="354" spans="1:9">
      <c r="A354" s="89" t="s">
        <v>450</v>
      </c>
      <c r="B354" s="81">
        <f>SUM(B355:B357)</f>
        <v>4410</v>
      </c>
      <c r="C354" s="81">
        <f>SUM(C355:C357)</f>
        <v>2575</v>
      </c>
      <c r="D354" s="82">
        <f t="shared" si="12"/>
        <v>0.58390022675737</v>
      </c>
      <c r="E354" s="83">
        <f t="shared" si="13"/>
        <v>0.567255021302495</v>
      </c>
      <c r="F354" s="84"/>
      <c r="H354" s="90" t="s">
        <v>450</v>
      </c>
      <c r="I354" s="94">
        <v>1643</v>
      </c>
    </row>
    <row r="355" spans="1:9">
      <c r="A355" s="89" t="s">
        <v>584</v>
      </c>
      <c r="B355" s="81">
        <v>183</v>
      </c>
      <c r="C355" s="81">
        <v>76</v>
      </c>
      <c r="D355" s="82">
        <f t="shared" si="12"/>
        <v>0.415300546448087</v>
      </c>
      <c r="E355" s="83">
        <f t="shared" si="13"/>
        <v>-0.191489361702128</v>
      </c>
      <c r="F355" s="84"/>
      <c r="H355" s="90" t="s">
        <v>1558</v>
      </c>
      <c r="I355" s="94">
        <v>94</v>
      </c>
    </row>
    <row r="356" spans="1:9">
      <c r="A356" s="89" t="s">
        <v>452</v>
      </c>
      <c r="B356" s="81">
        <v>1791</v>
      </c>
      <c r="C356" s="81">
        <v>665</v>
      </c>
      <c r="D356" s="82">
        <f t="shared" si="12"/>
        <v>0.371300949190396</v>
      </c>
      <c r="E356" s="83">
        <f t="shared" si="13"/>
        <v>0.286266924564797</v>
      </c>
      <c r="F356" s="84"/>
      <c r="H356" s="90" t="s">
        <v>1559</v>
      </c>
      <c r="I356" s="94">
        <v>517</v>
      </c>
    </row>
    <row r="357" spans="1:9">
      <c r="A357" s="89" t="s">
        <v>1560</v>
      </c>
      <c r="B357" s="81">
        <f>2493-57</f>
        <v>2436</v>
      </c>
      <c r="C357" s="81">
        <v>1834</v>
      </c>
      <c r="D357" s="82">
        <f t="shared" si="12"/>
        <v>0.752873563218391</v>
      </c>
      <c r="E357" s="83">
        <f t="shared" si="13"/>
        <v>0.777131782945736</v>
      </c>
      <c r="F357" s="84"/>
      <c r="H357" s="90" t="s">
        <v>1561</v>
      </c>
      <c r="I357" s="94">
        <v>1032</v>
      </c>
    </row>
    <row r="358" spans="1:9">
      <c r="A358" s="89" t="s">
        <v>455</v>
      </c>
      <c r="B358" s="81">
        <f>SUM(B359)</f>
        <v>314</v>
      </c>
      <c r="C358" s="81">
        <f>SUM(C359)</f>
        <v>136</v>
      </c>
      <c r="D358" s="82">
        <f t="shared" si="12"/>
        <v>0.43312101910828</v>
      </c>
      <c r="E358" s="83">
        <f t="shared" si="13"/>
        <v>0.214285714285714</v>
      </c>
      <c r="F358" s="84"/>
      <c r="H358" s="90" t="s">
        <v>455</v>
      </c>
      <c r="I358" s="94">
        <v>112</v>
      </c>
    </row>
    <row r="359" spans="1:9">
      <c r="A359" s="89" t="s">
        <v>1562</v>
      </c>
      <c r="B359" s="81">
        <v>314</v>
      </c>
      <c r="C359" s="81">
        <v>136</v>
      </c>
      <c r="D359" s="82">
        <f t="shared" si="12"/>
        <v>0.43312101910828</v>
      </c>
      <c r="E359" s="83">
        <f t="shared" si="13"/>
        <v>0.214285714285714</v>
      </c>
      <c r="F359" s="84"/>
      <c r="H359" s="90" t="s">
        <v>1563</v>
      </c>
      <c r="I359" s="94">
        <v>112</v>
      </c>
    </row>
    <row r="360" spans="1:9">
      <c r="A360" s="89" t="s">
        <v>457</v>
      </c>
      <c r="B360" s="81">
        <f>SUM(B361:B362)</f>
        <v>33088</v>
      </c>
      <c r="C360" s="81">
        <f>SUM(C361:C362)</f>
        <v>38483</v>
      </c>
      <c r="D360" s="82">
        <f t="shared" si="12"/>
        <v>1.1630500483559</v>
      </c>
      <c r="E360" s="83">
        <f t="shared" si="13"/>
        <v>1.44616069158403</v>
      </c>
      <c r="F360" s="84"/>
      <c r="H360" s="90" t="s">
        <v>457</v>
      </c>
      <c r="I360" s="94">
        <v>15732</v>
      </c>
    </row>
    <row r="361" spans="1:9">
      <c r="A361" s="89" t="s">
        <v>1564</v>
      </c>
      <c r="B361" s="81">
        <v>12192</v>
      </c>
      <c r="C361" s="81">
        <v>13446</v>
      </c>
      <c r="D361" s="82">
        <f t="shared" si="12"/>
        <v>1.10285433070866</v>
      </c>
      <c r="E361" s="83">
        <f t="shared" si="13"/>
        <v>2.57701516360734</v>
      </c>
      <c r="F361" s="84"/>
      <c r="H361" s="90" t="s">
        <v>1565</v>
      </c>
      <c r="I361" s="94">
        <v>3759</v>
      </c>
    </row>
    <row r="362" spans="1:9">
      <c r="A362" s="89" t="s">
        <v>459</v>
      </c>
      <c r="B362" s="81">
        <f>21036-140</f>
        <v>20896</v>
      </c>
      <c r="C362" s="81">
        <v>25037</v>
      </c>
      <c r="D362" s="82">
        <f t="shared" si="12"/>
        <v>1.19817189892802</v>
      </c>
      <c r="E362" s="83">
        <f t="shared" si="13"/>
        <v>1.09112169047022</v>
      </c>
      <c r="F362" s="84"/>
      <c r="H362" s="90" t="s">
        <v>1566</v>
      </c>
      <c r="I362" s="94">
        <v>11973</v>
      </c>
    </row>
    <row r="363" spans="1:9">
      <c r="A363" s="89" t="s">
        <v>460</v>
      </c>
      <c r="B363" s="81">
        <f>SUM(B364)</f>
        <v>15672</v>
      </c>
      <c r="C363" s="81">
        <f>SUM(C364)</f>
        <v>3442</v>
      </c>
      <c r="D363" s="82">
        <f t="shared" si="12"/>
        <v>0.219627360898418</v>
      </c>
      <c r="E363" s="83">
        <f t="shared" si="13"/>
        <v>0.55045045045045</v>
      </c>
      <c r="F363" s="84"/>
      <c r="H363" s="90" t="s">
        <v>460</v>
      </c>
      <c r="I363" s="94">
        <v>2220</v>
      </c>
    </row>
    <row r="364" spans="1:9">
      <c r="A364" s="89" t="s">
        <v>461</v>
      </c>
      <c r="B364" s="81">
        <v>15672</v>
      </c>
      <c r="C364" s="81">
        <v>3442</v>
      </c>
      <c r="D364" s="82">
        <f t="shared" si="12"/>
        <v>0.219627360898418</v>
      </c>
      <c r="E364" s="83">
        <f t="shared" si="13"/>
        <v>0.55045045045045</v>
      </c>
      <c r="F364" s="84"/>
      <c r="H364" s="90" t="s">
        <v>1567</v>
      </c>
      <c r="I364" s="94">
        <v>2220</v>
      </c>
    </row>
    <row r="365" spans="1:9">
      <c r="A365" s="89" t="s">
        <v>462</v>
      </c>
      <c r="B365" s="81">
        <f>SUM(B366)</f>
        <v>311</v>
      </c>
      <c r="C365" s="81">
        <f>SUM(C366)</f>
        <v>119</v>
      </c>
      <c r="D365" s="82">
        <f t="shared" si="12"/>
        <v>0.382636655948553</v>
      </c>
      <c r="E365" s="83">
        <f t="shared" si="13"/>
        <v>0.0170940170940171</v>
      </c>
      <c r="F365" s="84"/>
      <c r="H365" s="90" t="s">
        <v>462</v>
      </c>
      <c r="I365" s="94">
        <v>117</v>
      </c>
    </row>
    <row r="366" spans="1:9">
      <c r="A366" s="89" t="s">
        <v>463</v>
      </c>
      <c r="B366" s="81">
        <v>311</v>
      </c>
      <c r="C366" s="81">
        <v>119</v>
      </c>
      <c r="D366" s="82">
        <f t="shared" si="12"/>
        <v>0.382636655948553</v>
      </c>
      <c r="E366" s="83">
        <f t="shared" si="13"/>
        <v>0.0170940170940171</v>
      </c>
      <c r="F366" s="84"/>
      <c r="H366" s="90" t="s">
        <v>1568</v>
      </c>
      <c r="I366" s="94">
        <v>117</v>
      </c>
    </row>
    <row r="367" spans="1:9">
      <c r="A367" s="89" t="s">
        <v>464</v>
      </c>
      <c r="B367" s="81">
        <v>190</v>
      </c>
      <c r="C367" s="81"/>
      <c r="D367" s="82">
        <f t="shared" si="12"/>
        <v>0</v>
      </c>
      <c r="E367" s="83"/>
      <c r="F367" s="84"/>
      <c r="H367" s="90" t="s">
        <v>464</v>
      </c>
      <c r="I367" s="94"/>
    </row>
    <row r="368" spans="1:9">
      <c r="A368" s="99" t="s">
        <v>1569</v>
      </c>
      <c r="B368" s="96">
        <f>SUM(B369,B380,B391,B401,B402,B405,B409,B413,B417,B418)</f>
        <v>19042</v>
      </c>
      <c r="C368" s="96">
        <f>SUM(C369,C380,C391,C401,C402,C405,C409,C413,C417,C418)</f>
        <v>9637</v>
      </c>
      <c r="D368" s="82">
        <f t="shared" si="12"/>
        <v>0.506091797080139</v>
      </c>
      <c r="E368" s="83">
        <f>(C368-I368)/I368</f>
        <v>1.48376288659794</v>
      </c>
      <c r="F368" s="84"/>
      <c r="H368" s="100" t="s">
        <v>1569</v>
      </c>
      <c r="I368" s="52">
        <v>3880</v>
      </c>
    </row>
    <row r="369" spans="1:9">
      <c r="A369" s="89" t="s">
        <v>465</v>
      </c>
      <c r="B369" s="81">
        <f>SUM(B370:B379)</f>
        <v>4731</v>
      </c>
      <c r="C369" s="81">
        <f>SUM(C370:C379)</f>
        <v>2161</v>
      </c>
      <c r="D369" s="82">
        <f t="shared" si="12"/>
        <v>0.456774466286197</v>
      </c>
      <c r="E369" s="83">
        <f>(C369-I369)/I369</f>
        <v>0.377310388782664</v>
      </c>
      <c r="F369" s="84"/>
      <c r="H369" s="90" t="s">
        <v>465</v>
      </c>
      <c r="I369" s="94">
        <v>1569</v>
      </c>
    </row>
    <row r="370" spans="1:9">
      <c r="A370" s="89" t="s">
        <v>584</v>
      </c>
      <c r="B370" s="81">
        <v>187</v>
      </c>
      <c r="C370" s="81">
        <v>109</v>
      </c>
      <c r="D370" s="82">
        <f t="shared" si="12"/>
        <v>0.582887700534759</v>
      </c>
      <c r="E370" s="83">
        <f>(C370-I370)/I370</f>
        <v>0.184782608695652</v>
      </c>
      <c r="F370" s="84"/>
      <c r="H370" s="90" t="s">
        <v>584</v>
      </c>
      <c r="I370" s="94">
        <v>92</v>
      </c>
    </row>
    <row r="371" spans="1:9">
      <c r="A371" s="89" t="s">
        <v>1570</v>
      </c>
      <c r="B371" s="81">
        <v>3119</v>
      </c>
      <c r="C371" s="81">
        <v>1579</v>
      </c>
      <c r="D371" s="82">
        <f t="shared" si="12"/>
        <v>0.506252003847387</v>
      </c>
      <c r="E371" s="83">
        <f>(C371-I371)/I371</f>
        <v>0.101884159106769</v>
      </c>
      <c r="F371" s="84"/>
      <c r="H371" s="90" t="s">
        <v>1571</v>
      </c>
      <c r="I371" s="94">
        <v>1433</v>
      </c>
    </row>
    <row r="372" spans="1:9">
      <c r="A372" s="89" t="s">
        <v>1572</v>
      </c>
      <c r="B372" s="81">
        <v>18</v>
      </c>
      <c r="C372" s="81">
        <v>3</v>
      </c>
      <c r="D372" s="82">
        <f t="shared" si="12"/>
        <v>0.166666666666667</v>
      </c>
      <c r="E372" s="83"/>
      <c r="F372" s="84"/>
      <c r="H372" s="90" t="s">
        <v>1573</v>
      </c>
      <c r="I372" s="94"/>
    </row>
    <row r="373" spans="1:9">
      <c r="A373" s="89" t="s">
        <v>469</v>
      </c>
      <c r="B373" s="81">
        <v>73</v>
      </c>
      <c r="C373" s="81"/>
      <c r="D373" s="82">
        <f t="shared" si="12"/>
        <v>0</v>
      </c>
      <c r="E373" s="83"/>
      <c r="F373" s="84"/>
      <c r="H373" s="90" t="s">
        <v>1574</v>
      </c>
      <c r="I373" s="94"/>
    </row>
    <row r="374" spans="1:9">
      <c r="A374" s="89" t="s">
        <v>1575</v>
      </c>
      <c r="B374" s="81">
        <v>80</v>
      </c>
      <c r="C374" s="81"/>
      <c r="D374" s="82">
        <f t="shared" si="12"/>
        <v>0</v>
      </c>
      <c r="E374" s="83"/>
      <c r="F374" s="84"/>
      <c r="H374" s="90"/>
      <c r="I374" s="94"/>
    </row>
    <row r="375" spans="1:9">
      <c r="A375" s="89" t="s">
        <v>1576</v>
      </c>
      <c r="B375" s="81"/>
      <c r="C375" s="81"/>
      <c r="D375" s="82"/>
      <c r="E375" s="83"/>
      <c r="F375" s="84"/>
      <c r="H375" s="90" t="s">
        <v>1577</v>
      </c>
      <c r="I375" s="94"/>
    </row>
    <row r="376" spans="1:9">
      <c r="A376" s="89" t="s">
        <v>1578</v>
      </c>
      <c r="B376" s="81">
        <v>578</v>
      </c>
      <c r="C376" s="81"/>
      <c r="D376" s="82">
        <f t="shared" si="12"/>
        <v>0</v>
      </c>
      <c r="E376" s="83"/>
      <c r="F376" s="84"/>
      <c r="H376" s="90" t="s">
        <v>1579</v>
      </c>
      <c r="I376" s="94"/>
    </row>
    <row r="377" spans="1:9">
      <c r="A377" s="89" t="s">
        <v>1580</v>
      </c>
      <c r="B377" s="81">
        <f>788-190</f>
        <v>598</v>
      </c>
      <c r="C377" s="81">
        <v>325</v>
      </c>
      <c r="D377" s="82">
        <f t="shared" si="12"/>
        <v>0.543478260869565</v>
      </c>
      <c r="E377" s="83">
        <f>(C377-I377)/I377</f>
        <v>6.38636363636364</v>
      </c>
      <c r="F377" s="84"/>
      <c r="H377" s="90" t="s">
        <v>1581</v>
      </c>
      <c r="I377" s="94">
        <v>44</v>
      </c>
    </row>
    <row r="378" ht="18" customHeight="1" spans="1:9">
      <c r="A378" s="89" t="s">
        <v>1582</v>
      </c>
      <c r="B378" s="81"/>
      <c r="C378" s="81"/>
      <c r="D378" s="82"/>
      <c r="E378" s="83"/>
      <c r="F378" s="84"/>
      <c r="H378" s="90" t="s">
        <v>1583</v>
      </c>
      <c r="I378" s="94"/>
    </row>
    <row r="379" spans="1:9">
      <c r="A379" s="89" t="s">
        <v>1584</v>
      </c>
      <c r="B379" s="81">
        <v>78</v>
      </c>
      <c r="C379" s="81">
        <v>145</v>
      </c>
      <c r="D379" s="82">
        <f t="shared" si="12"/>
        <v>1.85897435897436</v>
      </c>
      <c r="E379" s="83"/>
      <c r="F379" s="84"/>
      <c r="H379" s="90" t="s">
        <v>1585</v>
      </c>
      <c r="I379" s="94"/>
    </row>
    <row r="380" spans="1:9">
      <c r="A380" s="89" t="s">
        <v>478</v>
      </c>
      <c r="B380" s="81">
        <f>SUM(B381:B390)</f>
        <v>2732</v>
      </c>
      <c r="C380" s="81">
        <f>SUM(C381:C390)</f>
        <v>1878</v>
      </c>
      <c r="D380" s="82">
        <f t="shared" si="12"/>
        <v>0.687408491947291</v>
      </c>
      <c r="E380" s="83">
        <f>(C380-I380)/I380</f>
        <v>0.121863799283154</v>
      </c>
      <c r="F380" s="84"/>
      <c r="H380" s="90" t="s">
        <v>478</v>
      </c>
      <c r="I380" s="94">
        <v>1674</v>
      </c>
    </row>
    <row r="381" spans="1:9">
      <c r="A381" s="89" t="s">
        <v>584</v>
      </c>
      <c r="B381" s="81">
        <v>111</v>
      </c>
      <c r="C381" s="81">
        <v>71</v>
      </c>
      <c r="D381" s="82">
        <f t="shared" si="12"/>
        <v>0.63963963963964</v>
      </c>
      <c r="E381" s="83">
        <f>(C381-I381)/I381</f>
        <v>0.613636363636364</v>
      </c>
      <c r="F381" s="84"/>
      <c r="H381" s="90" t="s">
        <v>1558</v>
      </c>
      <c r="I381" s="94">
        <v>44</v>
      </c>
    </row>
    <row r="382" spans="1:9">
      <c r="A382" s="89" t="s">
        <v>1586</v>
      </c>
      <c r="B382" s="81">
        <v>815</v>
      </c>
      <c r="C382" s="81">
        <v>364</v>
      </c>
      <c r="D382" s="82">
        <f t="shared" si="12"/>
        <v>0.446625766871166</v>
      </c>
      <c r="E382" s="83">
        <f>(C382-I382)/I382</f>
        <v>0.0833333333333333</v>
      </c>
      <c r="F382" s="84"/>
      <c r="H382" s="90" t="s">
        <v>1587</v>
      </c>
      <c r="I382" s="94">
        <v>336</v>
      </c>
    </row>
    <row r="383" spans="1:9">
      <c r="A383" s="89" t="s">
        <v>1588</v>
      </c>
      <c r="B383" s="81">
        <v>1265</v>
      </c>
      <c r="C383" s="81">
        <v>1367</v>
      </c>
      <c r="D383" s="82">
        <f t="shared" si="12"/>
        <v>1.08063241106719</v>
      </c>
      <c r="E383" s="83">
        <f>(C383-I383)/I383</f>
        <v>0.0564142194744977</v>
      </c>
      <c r="F383" s="84"/>
      <c r="H383" s="90" t="s">
        <v>1589</v>
      </c>
      <c r="I383" s="94">
        <v>1294</v>
      </c>
    </row>
    <row r="384" spans="1:9">
      <c r="A384" s="89" t="s">
        <v>1590</v>
      </c>
      <c r="B384" s="81">
        <v>22</v>
      </c>
      <c r="C384" s="81"/>
      <c r="D384" s="82">
        <f t="shared" si="12"/>
        <v>0</v>
      </c>
      <c r="E384" s="83"/>
      <c r="F384" s="84"/>
      <c r="H384" s="90" t="s">
        <v>1591</v>
      </c>
      <c r="I384" s="94"/>
    </row>
    <row r="385" spans="1:9">
      <c r="A385" s="89" t="s">
        <v>1592</v>
      </c>
      <c r="B385" s="81">
        <v>97</v>
      </c>
      <c r="C385" s="81"/>
      <c r="D385" s="82">
        <f t="shared" si="12"/>
        <v>0</v>
      </c>
      <c r="E385" s="83"/>
      <c r="F385" s="84"/>
      <c r="H385" s="90" t="s">
        <v>1593</v>
      </c>
      <c r="I385" s="94"/>
    </row>
    <row r="386" spans="1:9">
      <c r="A386" s="89" t="s">
        <v>1594</v>
      </c>
      <c r="B386" s="81">
        <v>159</v>
      </c>
      <c r="C386" s="81">
        <v>48</v>
      </c>
      <c r="D386" s="82">
        <f t="shared" si="12"/>
        <v>0.30188679245283</v>
      </c>
      <c r="E386" s="83"/>
      <c r="F386" s="84"/>
      <c r="H386" s="90"/>
      <c r="I386" s="94"/>
    </row>
    <row r="387" spans="1:9">
      <c r="A387" s="89" t="s">
        <v>1595</v>
      </c>
      <c r="B387" s="81">
        <v>6</v>
      </c>
      <c r="C387" s="81">
        <v>6</v>
      </c>
      <c r="D387" s="82">
        <f t="shared" si="12"/>
        <v>1</v>
      </c>
      <c r="E387" s="83"/>
      <c r="F387" s="84"/>
      <c r="H387" s="90"/>
      <c r="I387" s="94"/>
    </row>
    <row r="388" spans="1:9">
      <c r="A388" s="89" t="s">
        <v>1596</v>
      </c>
      <c r="B388" s="81"/>
      <c r="C388" s="81"/>
      <c r="D388" s="82"/>
      <c r="E388" s="83"/>
      <c r="F388" s="84"/>
      <c r="H388" s="90" t="s">
        <v>1597</v>
      </c>
      <c r="I388" s="94"/>
    </row>
    <row r="389" spans="1:9">
      <c r="A389" s="89" t="s">
        <v>1598</v>
      </c>
      <c r="B389" s="81"/>
      <c r="C389" s="81"/>
      <c r="D389" s="82"/>
      <c r="E389" s="83"/>
      <c r="F389" s="84"/>
      <c r="H389" s="90" t="s">
        <v>1599</v>
      </c>
      <c r="I389" s="94"/>
    </row>
    <row r="390" spans="1:9">
      <c r="A390" s="89" t="s">
        <v>1600</v>
      </c>
      <c r="B390" s="81">
        <v>257</v>
      </c>
      <c r="C390" s="81">
        <v>22</v>
      </c>
      <c r="D390" s="82">
        <f t="shared" ref="D390:D452" si="14">C390/B390</f>
        <v>0.0856031128404669</v>
      </c>
      <c r="E390" s="83"/>
      <c r="F390" s="84"/>
      <c r="H390" s="90" t="s">
        <v>1601</v>
      </c>
      <c r="I390" s="94"/>
    </row>
    <row r="391" spans="1:9">
      <c r="A391" s="89" t="s">
        <v>492</v>
      </c>
      <c r="B391" s="81">
        <f>SUM(B392:B400)</f>
        <v>2745</v>
      </c>
      <c r="C391" s="81">
        <f>SUM(C392:C400)</f>
        <v>1903</v>
      </c>
      <c r="D391" s="82">
        <f t="shared" si="14"/>
        <v>0.693260473588342</v>
      </c>
      <c r="E391" s="83">
        <f>(C391-I391)/I391</f>
        <v>2.72407045009785</v>
      </c>
      <c r="F391" s="84"/>
      <c r="H391" s="90" t="s">
        <v>492</v>
      </c>
      <c r="I391" s="94">
        <v>511</v>
      </c>
    </row>
    <row r="392" spans="1:9">
      <c r="A392" s="89" t="s">
        <v>584</v>
      </c>
      <c r="B392" s="81">
        <v>88</v>
      </c>
      <c r="C392" s="81">
        <v>48</v>
      </c>
      <c r="D392" s="82">
        <f t="shared" si="14"/>
        <v>0.545454545454545</v>
      </c>
      <c r="E392" s="83">
        <f>(C392-I392)/I392</f>
        <v>0.142857142857143</v>
      </c>
      <c r="F392" s="84"/>
      <c r="H392" s="90" t="s">
        <v>584</v>
      </c>
      <c r="I392" s="94">
        <v>42</v>
      </c>
    </row>
    <row r="393" spans="1:9">
      <c r="A393" s="89" t="s">
        <v>1602</v>
      </c>
      <c r="B393" s="81">
        <v>515</v>
      </c>
      <c r="C393" s="81">
        <v>859</v>
      </c>
      <c r="D393" s="82">
        <f t="shared" si="14"/>
        <v>1.66796116504854</v>
      </c>
      <c r="E393" s="83">
        <f>(C393-I393)/I393</f>
        <v>11.2714285714286</v>
      </c>
      <c r="F393" s="84"/>
      <c r="H393" s="90" t="s">
        <v>1603</v>
      </c>
      <c r="I393" s="94">
        <v>70</v>
      </c>
    </row>
    <row r="394" spans="1:9">
      <c r="A394" s="89" t="s">
        <v>1604</v>
      </c>
      <c r="B394" s="81">
        <v>121</v>
      </c>
      <c r="C394" s="81">
        <v>30</v>
      </c>
      <c r="D394" s="82">
        <f t="shared" si="14"/>
        <v>0.247933884297521</v>
      </c>
      <c r="E394" s="83">
        <f>(C394-I394)/I394</f>
        <v>0</v>
      </c>
      <c r="F394" s="84"/>
      <c r="H394" s="91" t="s">
        <v>1604</v>
      </c>
      <c r="I394" s="94">
        <v>30</v>
      </c>
    </row>
    <row r="395" spans="1:9">
      <c r="A395" s="89" t="s">
        <v>1605</v>
      </c>
      <c r="B395" s="81">
        <v>69</v>
      </c>
      <c r="C395" s="81">
        <v>22</v>
      </c>
      <c r="D395" s="82">
        <f t="shared" si="14"/>
        <v>0.318840579710145</v>
      </c>
      <c r="E395" s="83">
        <f>(C395-I395)/I395</f>
        <v>-0.241379310344828</v>
      </c>
      <c r="F395" s="84"/>
      <c r="H395" s="90" t="s">
        <v>1606</v>
      </c>
      <c r="I395" s="94">
        <v>29</v>
      </c>
    </row>
    <row r="396" spans="1:9">
      <c r="A396" s="89" t="s">
        <v>1607</v>
      </c>
      <c r="B396" s="81"/>
      <c r="C396" s="81">
        <v>2</v>
      </c>
      <c r="D396" s="82"/>
      <c r="E396" s="83"/>
      <c r="F396" s="84"/>
      <c r="H396" s="90" t="s">
        <v>1608</v>
      </c>
      <c r="I396" s="94"/>
    </row>
    <row r="397" spans="1:9">
      <c r="A397" s="89" t="s">
        <v>1609</v>
      </c>
      <c r="B397" s="81">
        <f>5</f>
        <v>5</v>
      </c>
      <c r="C397" s="81"/>
      <c r="D397" s="82">
        <f t="shared" si="14"/>
        <v>0</v>
      </c>
      <c r="E397" s="83"/>
      <c r="F397" s="84"/>
      <c r="H397" s="90" t="s">
        <v>1610</v>
      </c>
      <c r="I397" s="94"/>
    </row>
    <row r="398" spans="1:9">
      <c r="A398" s="89" t="s">
        <v>1611</v>
      </c>
      <c r="B398" s="81">
        <f>1554-5</f>
        <v>1549</v>
      </c>
      <c r="C398" s="81">
        <v>887</v>
      </c>
      <c r="D398" s="82">
        <f t="shared" si="14"/>
        <v>0.572627501613944</v>
      </c>
      <c r="E398" s="83">
        <f>(C398-I398)/I398</f>
        <v>1.96655518394649</v>
      </c>
      <c r="F398" s="84"/>
      <c r="H398" s="90" t="s">
        <v>1612</v>
      </c>
      <c r="I398" s="94">
        <v>299</v>
      </c>
    </row>
    <row r="399" ht="18" customHeight="1" spans="1:9">
      <c r="A399" s="89" t="s">
        <v>1613</v>
      </c>
      <c r="B399" s="81"/>
      <c r="C399" s="81"/>
      <c r="D399" s="82"/>
      <c r="E399" s="83"/>
      <c r="F399" s="84"/>
      <c r="H399" s="90" t="s">
        <v>1614</v>
      </c>
      <c r="I399" s="94"/>
    </row>
    <row r="400" spans="1:9">
      <c r="A400" s="89" t="s">
        <v>1615</v>
      </c>
      <c r="B400" s="81">
        <f>585-187</f>
        <v>398</v>
      </c>
      <c r="C400" s="81">
        <v>55</v>
      </c>
      <c r="D400" s="82">
        <f t="shared" si="14"/>
        <v>0.138190954773869</v>
      </c>
      <c r="E400" s="83">
        <f>(C400-I400)/I400</f>
        <v>0.341463414634146</v>
      </c>
      <c r="F400" s="84"/>
      <c r="H400" s="90" t="s">
        <v>1616</v>
      </c>
      <c r="I400" s="94">
        <v>41</v>
      </c>
    </row>
    <row r="401" spans="1:9">
      <c r="A401" s="89" t="s">
        <v>506</v>
      </c>
      <c r="B401" s="81"/>
      <c r="C401" s="81"/>
      <c r="D401" s="82"/>
      <c r="E401" s="83"/>
      <c r="F401" s="84"/>
      <c r="H401" s="90" t="s">
        <v>506</v>
      </c>
      <c r="I401" s="94"/>
    </row>
    <row r="402" spans="1:9">
      <c r="A402" s="89" t="s">
        <v>507</v>
      </c>
      <c r="B402" s="81">
        <f>SUM(B403:B404)</f>
        <v>2281</v>
      </c>
      <c r="C402" s="81">
        <f>SUM(C403:C404)</f>
        <v>1124</v>
      </c>
      <c r="D402" s="82">
        <f t="shared" si="14"/>
        <v>0.492766330556773</v>
      </c>
      <c r="E402" s="83"/>
      <c r="F402" s="84"/>
      <c r="H402" s="90" t="s">
        <v>507</v>
      </c>
      <c r="I402" s="94"/>
    </row>
    <row r="403" spans="1:9">
      <c r="A403" s="89" t="s">
        <v>1617</v>
      </c>
      <c r="B403" s="81">
        <v>67</v>
      </c>
      <c r="C403" s="81"/>
      <c r="D403" s="82">
        <f t="shared" si="14"/>
        <v>0</v>
      </c>
      <c r="E403" s="83"/>
      <c r="F403" s="84"/>
      <c r="H403" s="90"/>
      <c r="I403" s="94"/>
    </row>
    <row r="404" spans="1:9">
      <c r="A404" s="89" t="s">
        <v>511</v>
      </c>
      <c r="B404" s="81">
        <v>2214</v>
      </c>
      <c r="C404" s="81">
        <v>1124</v>
      </c>
      <c r="D404" s="82">
        <f t="shared" si="14"/>
        <v>0.507678410117435</v>
      </c>
      <c r="E404" s="83"/>
      <c r="F404" s="84"/>
      <c r="H404" s="90" t="s">
        <v>1618</v>
      </c>
      <c r="I404" s="94"/>
    </row>
    <row r="405" spans="1:9">
      <c r="A405" s="89" t="s">
        <v>512</v>
      </c>
      <c r="B405" s="81">
        <f>SUM(B406:B408)</f>
        <v>1018</v>
      </c>
      <c r="C405" s="81">
        <f>SUM(C406:C408)</f>
        <v>330</v>
      </c>
      <c r="D405" s="82">
        <f t="shared" si="14"/>
        <v>0.324165029469548</v>
      </c>
      <c r="E405" s="83"/>
      <c r="F405" s="84"/>
      <c r="H405" s="90" t="s">
        <v>512</v>
      </c>
      <c r="I405" s="94"/>
    </row>
    <row r="406" spans="1:9">
      <c r="A406" s="89" t="s">
        <v>1619</v>
      </c>
      <c r="B406" s="81">
        <f>929-11</f>
        <v>918</v>
      </c>
      <c r="C406" s="81">
        <v>90</v>
      </c>
      <c r="D406" s="82">
        <f t="shared" si="14"/>
        <v>0.0980392156862745</v>
      </c>
      <c r="E406" s="83"/>
      <c r="F406" s="84"/>
      <c r="H406" s="90" t="s">
        <v>1620</v>
      </c>
      <c r="I406" s="94"/>
    </row>
    <row r="407" spans="1:9">
      <c r="A407" s="89" t="s">
        <v>1621</v>
      </c>
      <c r="B407" s="81">
        <f>103-3</f>
        <v>100</v>
      </c>
      <c r="C407" s="81">
        <v>240</v>
      </c>
      <c r="D407" s="82">
        <f t="shared" si="14"/>
        <v>2.4</v>
      </c>
      <c r="E407" s="83"/>
      <c r="F407" s="84"/>
      <c r="H407" s="90"/>
      <c r="I407" s="94"/>
    </row>
    <row r="408" spans="1:9">
      <c r="A408" s="89" t="s">
        <v>1622</v>
      </c>
      <c r="B408" s="81"/>
      <c r="C408" s="81"/>
      <c r="D408" s="82"/>
      <c r="E408" s="83"/>
      <c r="F408" s="84"/>
      <c r="H408" s="90" t="s">
        <v>1623</v>
      </c>
      <c r="I408" s="94"/>
    </row>
    <row r="409" spans="1:9">
      <c r="A409" s="89" t="s">
        <v>516</v>
      </c>
      <c r="B409" s="81">
        <f>SUM(B410:B412)</f>
        <v>5358</v>
      </c>
      <c r="C409" s="81">
        <f>SUM(C410:C412)</f>
        <v>2181</v>
      </c>
      <c r="D409" s="82">
        <f t="shared" si="14"/>
        <v>0.407054871220605</v>
      </c>
      <c r="E409" s="83">
        <f>(C409-I409)/I409</f>
        <v>18.3008849557522</v>
      </c>
      <c r="F409" s="84"/>
      <c r="H409" s="90" t="s">
        <v>516</v>
      </c>
      <c r="I409" s="94">
        <v>113</v>
      </c>
    </row>
    <row r="410" spans="1:9">
      <c r="A410" s="89" t="s">
        <v>1624</v>
      </c>
      <c r="B410" s="81">
        <v>1168</v>
      </c>
      <c r="C410" s="81">
        <v>197</v>
      </c>
      <c r="D410" s="82">
        <f t="shared" si="14"/>
        <v>0.168664383561644</v>
      </c>
      <c r="E410" s="83"/>
      <c r="F410" s="84"/>
      <c r="H410" s="90" t="s">
        <v>1625</v>
      </c>
      <c r="I410" s="94"/>
    </row>
    <row r="411" ht="16.9" customHeight="1" spans="1:9">
      <c r="A411" s="89" t="s">
        <v>1626</v>
      </c>
      <c r="B411" s="81">
        <f>4146-203-2+66-129</f>
        <v>3878</v>
      </c>
      <c r="C411" s="81">
        <v>1672</v>
      </c>
      <c r="D411" s="82">
        <f t="shared" si="14"/>
        <v>0.431150077359464</v>
      </c>
      <c r="E411" s="83">
        <f>(C411-I411)/I411</f>
        <v>25.5396825396825</v>
      </c>
      <c r="F411" s="84"/>
      <c r="H411" s="90" t="s">
        <v>1627</v>
      </c>
      <c r="I411" s="94">
        <v>63</v>
      </c>
    </row>
    <row r="412" spans="1:9">
      <c r="A412" s="89" t="s">
        <v>1628</v>
      </c>
      <c r="B412" s="81">
        <v>312</v>
      </c>
      <c r="C412" s="81">
        <v>312</v>
      </c>
      <c r="D412" s="82">
        <f t="shared" si="14"/>
        <v>1</v>
      </c>
      <c r="E412" s="83">
        <f>(C412-I412)/I412</f>
        <v>5.24</v>
      </c>
      <c r="F412" s="84"/>
      <c r="H412" s="90" t="s">
        <v>1629</v>
      </c>
      <c r="I412" s="94">
        <v>50</v>
      </c>
    </row>
    <row r="413" spans="1:9">
      <c r="A413" s="89" t="s">
        <v>1630</v>
      </c>
      <c r="B413" s="81">
        <f>SUM(B414:B416)</f>
        <v>177</v>
      </c>
      <c r="C413" s="81">
        <f>SUM(C414:C416)</f>
        <v>60</v>
      </c>
      <c r="D413" s="82">
        <f t="shared" si="14"/>
        <v>0.338983050847458</v>
      </c>
      <c r="E413" s="83">
        <f>(C413-I413)/I413</f>
        <v>3.61538461538462</v>
      </c>
      <c r="F413" s="84"/>
      <c r="H413" s="91" t="s">
        <v>1630</v>
      </c>
      <c r="I413" s="94">
        <v>13</v>
      </c>
    </row>
    <row r="414" spans="1:9">
      <c r="A414" s="89" t="s">
        <v>1631</v>
      </c>
      <c r="B414" s="81"/>
      <c r="C414" s="81">
        <v>38</v>
      </c>
      <c r="D414" s="82"/>
      <c r="E414" s="83"/>
      <c r="F414" s="84"/>
      <c r="H414" s="90" t="s">
        <v>1632</v>
      </c>
      <c r="I414" s="94"/>
    </row>
    <row r="415" spans="1:9">
      <c r="A415" s="89" t="s">
        <v>1633</v>
      </c>
      <c r="B415" s="81">
        <v>165</v>
      </c>
      <c r="C415" s="81">
        <v>22</v>
      </c>
      <c r="D415" s="82">
        <f t="shared" si="14"/>
        <v>0.133333333333333</v>
      </c>
      <c r="E415" s="83">
        <f>(C415-I415)/I415</f>
        <v>0.692307692307692</v>
      </c>
      <c r="F415" s="84"/>
      <c r="H415" s="90" t="s">
        <v>1634</v>
      </c>
      <c r="I415" s="94">
        <v>13</v>
      </c>
    </row>
    <row r="416" spans="1:9">
      <c r="A416" s="89" t="s">
        <v>1635</v>
      </c>
      <c r="B416" s="81">
        <v>12</v>
      </c>
      <c r="C416" s="81"/>
      <c r="D416" s="82">
        <f t="shared" si="14"/>
        <v>0</v>
      </c>
      <c r="E416" s="83"/>
      <c r="F416" s="84"/>
      <c r="H416" s="90"/>
      <c r="I416" s="94"/>
    </row>
    <row r="417" spans="1:9">
      <c r="A417" s="89" t="s">
        <v>524</v>
      </c>
      <c r="B417" s="81"/>
      <c r="C417" s="81"/>
      <c r="D417" s="82"/>
      <c r="E417" s="83"/>
      <c r="F417" s="84"/>
      <c r="H417" s="90" t="s">
        <v>524</v>
      </c>
      <c r="I417" s="94"/>
    </row>
    <row r="418" spans="1:9">
      <c r="A418" s="89" t="s">
        <v>525</v>
      </c>
      <c r="B418" s="81"/>
      <c r="C418" s="81"/>
      <c r="D418" s="82"/>
      <c r="E418" s="83"/>
      <c r="F418" s="84"/>
      <c r="H418" s="90" t="s">
        <v>525</v>
      </c>
      <c r="I418" s="94"/>
    </row>
    <row r="419" spans="1:9">
      <c r="A419" s="89" t="s">
        <v>1636</v>
      </c>
      <c r="B419" s="81"/>
      <c r="C419" s="81"/>
      <c r="D419" s="82"/>
      <c r="E419" s="83"/>
      <c r="F419" s="84"/>
      <c r="H419" s="90" t="s">
        <v>1637</v>
      </c>
      <c r="I419" s="94"/>
    </row>
    <row r="420" spans="1:9">
      <c r="A420" s="97" t="s">
        <v>1638</v>
      </c>
      <c r="B420" s="96">
        <f>SUM(B421,B426,B427,B428,B432,B433,B435)</f>
        <v>2741</v>
      </c>
      <c r="C420" s="96">
        <f>SUM(C421,C426,C427,C428,C432,C433,C435)</f>
        <v>1676</v>
      </c>
      <c r="D420" s="82">
        <f t="shared" si="14"/>
        <v>0.611455673112003</v>
      </c>
      <c r="E420" s="83">
        <f t="shared" ref="E420:E425" si="15">(C420-I420)/I420</f>
        <v>0.35270379338176</v>
      </c>
      <c r="F420" s="84"/>
      <c r="H420" s="98" t="s">
        <v>1638</v>
      </c>
      <c r="I420" s="52">
        <v>1239</v>
      </c>
    </row>
    <row r="421" spans="1:9">
      <c r="A421" s="89" t="s">
        <v>528</v>
      </c>
      <c r="B421" s="81">
        <f>SUM(B422:B425)</f>
        <v>2118</v>
      </c>
      <c r="C421" s="81">
        <f>SUM(C422:C425)</f>
        <v>1096</v>
      </c>
      <c r="D421" s="82">
        <f t="shared" si="14"/>
        <v>0.517469310670444</v>
      </c>
      <c r="E421" s="83">
        <f t="shared" si="15"/>
        <v>-0.0108303249097473</v>
      </c>
      <c r="F421" s="84"/>
      <c r="H421" s="90" t="s">
        <v>528</v>
      </c>
      <c r="I421" s="94">
        <v>1108</v>
      </c>
    </row>
    <row r="422" spans="1:9">
      <c r="A422" s="89" t="s">
        <v>584</v>
      </c>
      <c r="B422" s="81">
        <v>418</v>
      </c>
      <c r="C422" s="81">
        <v>69</v>
      </c>
      <c r="D422" s="82">
        <f t="shared" si="14"/>
        <v>0.165071770334928</v>
      </c>
      <c r="E422" s="83">
        <f t="shared" si="15"/>
        <v>-0.115384615384615</v>
      </c>
      <c r="F422" s="84"/>
      <c r="H422" s="90" t="s">
        <v>584</v>
      </c>
      <c r="I422" s="94">
        <v>78</v>
      </c>
    </row>
    <row r="423" spans="1:9">
      <c r="A423" s="89" t="s">
        <v>1639</v>
      </c>
      <c r="B423" s="81"/>
      <c r="C423" s="81">
        <v>100</v>
      </c>
      <c r="D423" s="82"/>
      <c r="E423" s="83">
        <f t="shared" si="15"/>
        <v>2.125</v>
      </c>
      <c r="F423" s="84"/>
      <c r="H423" s="91" t="s">
        <v>1639</v>
      </c>
      <c r="I423" s="94">
        <v>32</v>
      </c>
    </row>
    <row r="424" spans="1:9">
      <c r="A424" s="89" t="s">
        <v>1640</v>
      </c>
      <c r="B424" s="81">
        <v>676</v>
      </c>
      <c r="C424" s="81">
        <v>187</v>
      </c>
      <c r="D424" s="82">
        <f t="shared" si="14"/>
        <v>0.276627218934911</v>
      </c>
      <c r="E424" s="83">
        <f t="shared" si="15"/>
        <v>-0.130232558139535</v>
      </c>
      <c r="F424" s="84"/>
      <c r="H424" s="90" t="s">
        <v>1641</v>
      </c>
      <c r="I424" s="94">
        <v>215</v>
      </c>
    </row>
    <row r="425" spans="1:9">
      <c r="A425" s="89" t="s">
        <v>533</v>
      </c>
      <c r="B425" s="81">
        <f>1003+21</f>
        <v>1024</v>
      </c>
      <c r="C425" s="81">
        <v>740</v>
      </c>
      <c r="D425" s="82">
        <f t="shared" si="14"/>
        <v>0.72265625</v>
      </c>
      <c r="E425" s="83">
        <f t="shared" si="15"/>
        <v>-0.0549169859514687</v>
      </c>
      <c r="F425" s="84"/>
      <c r="H425" s="90" t="s">
        <v>1642</v>
      </c>
      <c r="I425" s="94">
        <v>783</v>
      </c>
    </row>
    <row r="426" spans="1:9">
      <c r="A426" s="89" t="s">
        <v>534</v>
      </c>
      <c r="B426" s="81"/>
      <c r="C426" s="81"/>
      <c r="D426" s="82"/>
      <c r="E426" s="83"/>
      <c r="F426" s="84"/>
      <c r="H426" s="90" t="s">
        <v>534</v>
      </c>
      <c r="I426" s="94"/>
    </row>
    <row r="427" spans="1:9">
      <c r="A427" s="89" t="s">
        <v>535</v>
      </c>
      <c r="B427" s="81"/>
      <c r="C427" s="81"/>
      <c r="D427" s="82"/>
      <c r="E427" s="83"/>
      <c r="F427" s="84"/>
      <c r="H427" s="90" t="s">
        <v>535</v>
      </c>
      <c r="I427" s="94"/>
    </row>
    <row r="428" ht="16.15" customHeight="1" spans="1:9">
      <c r="A428" s="89" t="s">
        <v>536</v>
      </c>
      <c r="B428" s="81">
        <f>SUM(B429:B431)</f>
        <v>528</v>
      </c>
      <c r="C428" s="81">
        <f>SUM(C429:C431)</f>
        <v>518</v>
      </c>
      <c r="D428" s="82">
        <f t="shared" si="14"/>
        <v>0.981060606060606</v>
      </c>
      <c r="E428" s="83"/>
      <c r="F428" s="84"/>
      <c r="H428" s="90" t="s">
        <v>1643</v>
      </c>
      <c r="I428" s="94"/>
    </row>
    <row r="429" spans="1:9">
      <c r="A429" s="89" t="s">
        <v>1644</v>
      </c>
      <c r="B429" s="81">
        <v>79</v>
      </c>
      <c r="C429" s="81">
        <v>79</v>
      </c>
      <c r="D429" s="82">
        <f t="shared" si="14"/>
        <v>1</v>
      </c>
      <c r="E429" s="83"/>
      <c r="F429" s="84"/>
      <c r="H429" s="90" t="s">
        <v>1645</v>
      </c>
      <c r="I429" s="94"/>
    </row>
    <row r="430" spans="1:9">
      <c r="A430" s="89" t="s">
        <v>1646</v>
      </c>
      <c r="B430" s="81">
        <v>128</v>
      </c>
      <c r="C430" s="81">
        <v>127</v>
      </c>
      <c r="D430" s="82">
        <f t="shared" si="14"/>
        <v>0.9921875</v>
      </c>
      <c r="E430" s="83"/>
      <c r="F430" s="84"/>
      <c r="H430" s="90"/>
      <c r="I430" s="94"/>
    </row>
    <row r="431" spans="1:9">
      <c r="A431" s="89" t="s">
        <v>1647</v>
      </c>
      <c r="B431" s="81">
        <v>321</v>
      </c>
      <c r="C431" s="81">
        <v>312</v>
      </c>
      <c r="D431" s="82">
        <f t="shared" si="14"/>
        <v>0.97196261682243</v>
      </c>
      <c r="E431" s="83"/>
      <c r="F431" s="84"/>
      <c r="H431" s="90"/>
      <c r="I431" s="94"/>
    </row>
    <row r="432" spans="1:9">
      <c r="A432" s="89" t="s">
        <v>540</v>
      </c>
      <c r="B432" s="81">
        <v>26</v>
      </c>
      <c r="C432" s="81">
        <v>8</v>
      </c>
      <c r="D432" s="82">
        <f t="shared" si="14"/>
        <v>0.307692307692308</v>
      </c>
      <c r="E432" s="83"/>
      <c r="F432" s="84"/>
      <c r="H432" s="90" t="s">
        <v>540</v>
      </c>
      <c r="I432" s="94"/>
    </row>
    <row r="433" spans="1:9">
      <c r="A433" s="89" t="s">
        <v>542</v>
      </c>
      <c r="B433" s="81">
        <f>SUM(B434)</f>
        <v>69</v>
      </c>
      <c r="C433" s="81">
        <f>SUM(C434)</f>
        <v>54</v>
      </c>
      <c r="D433" s="82">
        <f t="shared" si="14"/>
        <v>0.782608695652174</v>
      </c>
      <c r="E433" s="83">
        <f>(C433-I433)/I433</f>
        <v>-0.587786259541985</v>
      </c>
      <c r="F433" s="84"/>
      <c r="H433" s="90" t="s">
        <v>542</v>
      </c>
      <c r="I433" s="94">
        <v>131</v>
      </c>
    </row>
    <row r="434" ht="18" customHeight="1" spans="1:9">
      <c r="A434" s="89" t="s">
        <v>1648</v>
      </c>
      <c r="B434" s="81">
        <v>69</v>
      </c>
      <c r="C434" s="81">
        <v>54</v>
      </c>
      <c r="D434" s="82">
        <f t="shared" si="14"/>
        <v>0.782608695652174</v>
      </c>
      <c r="E434" s="83">
        <f>(C434-I434)/I434</f>
        <v>-0.587786259541985</v>
      </c>
      <c r="F434" s="84"/>
      <c r="H434" s="90" t="s">
        <v>1649</v>
      </c>
      <c r="I434" s="94">
        <v>131</v>
      </c>
    </row>
    <row r="435" spans="1:9">
      <c r="A435" s="89" t="s">
        <v>544</v>
      </c>
      <c r="B435" s="81"/>
      <c r="C435" s="81"/>
      <c r="D435" s="82"/>
      <c r="E435" s="83"/>
      <c r="F435" s="84"/>
      <c r="H435" s="90" t="s">
        <v>544</v>
      </c>
      <c r="I435" s="94"/>
    </row>
    <row r="436" spans="1:9">
      <c r="A436" s="99" t="s">
        <v>1650</v>
      </c>
      <c r="B436" s="96">
        <f>SUM(B437,B438,B439,B440,B443,B446,B447,B451)</f>
        <v>5406</v>
      </c>
      <c r="C436" s="96">
        <f>SUM(C437,C438,C439,C440,C443,C446,C447,C451)</f>
        <v>2968</v>
      </c>
      <c r="D436" s="82">
        <f t="shared" si="14"/>
        <v>0.549019607843137</v>
      </c>
      <c r="E436" s="83">
        <f>(C436-I436)/I436</f>
        <v>0.414006669842782</v>
      </c>
      <c r="F436" s="84"/>
      <c r="H436" s="100" t="s">
        <v>1650</v>
      </c>
      <c r="I436" s="52">
        <v>2099</v>
      </c>
    </row>
    <row r="437" spans="1:9">
      <c r="A437" s="89" t="s">
        <v>545</v>
      </c>
      <c r="B437" s="81"/>
      <c r="C437" s="81"/>
      <c r="D437" s="82"/>
      <c r="E437" s="83"/>
      <c r="F437" s="84"/>
      <c r="H437" s="90" t="s">
        <v>545</v>
      </c>
      <c r="I437" s="94"/>
    </row>
    <row r="438" spans="1:9">
      <c r="A438" s="89" t="s">
        <v>546</v>
      </c>
      <c r="B438" s="81"/>
      <c r="C438" s="81"/>
      <c r="D438" s="82"/>
      <c r="E438" s="83"/>
      <c r="F438" s="84"/>
      <c r="H438" s="90" t="s">
        <v>546</v>
      </c>
      <c r="I438" s="94"/>
    </row>
    <row r="439" spans="1:9">
      <c r="A439" s="89" t="s">
        <v>547</v>
      </c>
      <c r="B439" s="81"/>
      <c r="C439" s="81"/>
      <c r="D439" s="82"/>
      <c r="E439" s="83"/>
      <c r="F439" s="84"/>
      <c r="H439" s="90" t="s">
        <v>547</v>
      </c>
      <c r="I439" s="94"/>
    </row>
    <row r="440" spans="1:9">
      <c r="A440" s="89" t="s">
        <v>548</v>
      </c>
      <c r="B440" s="81">
        <f>SUM(B441:B442)</f>
        <v>477</v>
      </c>
      <c r="C440" s="81">
        <f>SUM(C441:C442)</f>
        <v>270</v>
      </c>
      <c r="D440" s="82">
        <f t="shared" si="14"/>
        <v>0.566037735849057</v>
      </c>
      <c r="E440" s="83">
        <f t="shared" ref="E440:E445" si="16">(C440-I440)/I440</f>
        <v>0.377551020408163</v>
      </c>
      <c r="F440" s="84"/>
      <c r="H440" s="90" t="s">
        <v>548</v>
      </c>
      <c r="I440" s="94">
        <v>196</v>
      </c>
    </row>
    <row r="441" spans="1:9">
      <c r="A441" s="89" t="s">
        <v>584</v>
      </c>
      <c r="B441" s="81">
        <v>202</v>
      </c>
      <c r="C441" s="81">
        <v>110</v>
      </c>
      <c r="D441" s="82">
        <f t="shared" si="14"/>
        <v>0.544554455445545</v>
      </c>
      <c r="E441" s="83">
        <f t="shared" si="16"/>
        <v>0.0280373831775701</v>
      </c>
      <c r="F441" s="84"/>
      <c r="H441" s="90" t="s">
        <v>584</v>
      </c>
      <c r="I441" s="94">
        <v>107</v>
      </c>
    </row>
    <row r="442" ht="16.9" customHeight="1" spans="1:9">
      <c r="A442" s="89" t="s">
        <v>551</v>
      </c>
      <c r="B442" s="81">
        <v>275</v>
      </c>
      <c r="C442" s="81">
        <v>160</v>
      </c>
      <c r="D442" s="82">
        <f t="shared" si="14"/>
        <v>0.581818181818182</v>
      </c>
      <c r="E442" s="83">
        <f t="shared" si="16"/>
        <v>0.797752808988764</v>
      </c>
      <c r="F442" s="84"/>
      <c r="H442" s="90" t="s">
        <v>1651</v>
      </c>
      <c r="I442" s="94">
        <v>89</v>
      </c>
    </row>
    <row r="443" spans="1:9">
      <c r="A443" s="89" t="s">
        <v>552</v>
      </c>
      <c r="B443" s="81">
        <f>SUM(B444:B445)</f>
        <v>4428</v>
      </c>
      <c r="C443" s="81">
        <f>SUM(C444:C445)</f>
        <v>2448</v>
      </c>
      <c r="D443" s="82">
        <f t="shared" si="14"/>
        <v>0.552845528455285</v>
      </c>
      <c r="E443" s="83">
        <f t="shared" si="16"/>
        <v>0.455410225921522</v>
      </c>
      <c r="F443" s="84"/>
      <c r="H443" s="90" t="s">
        <v>552</v>
      </c>
      <c r="I443" s="94">
        <v>1682</v>
      </c>
    </row>
    <row r="444" spans="1:9">
      <c r="A444" s="89" t="s">
        <v>584</v>
      </c>
      <c r="B444" s="81">
        <v>121</v>
      </c>
      <c r="C444" s="81">
        <v>66</v>
      </c>
      <c r="D444" s="82">
        <f t="shared" si="14"/>
        <v>0.545454545454545</v>
      </c>
      <c r="E444" s="83">
        <f t="shared" si="16"/>
        <v>0.375</v>
      </c>
      <c r="F444" s="84"/>
      <c r="H444" s="90" t="s">
        <v>584</v>
      </c>
      <c r="I444" s="94">
        <v>48</v>
      </c>
    </row>
    <row r="445" spans="1:9">
      <c r="A445" s="89" t="s">
        <v>554</v>
      </c>
      <c r="B445" s="81">
        <f>4563-256</f>
        <v>4307</v>
      </c>
      <c r="C445" s="81">
        <v>2382</v>
      </c>
      <c r="D445" s="82">
        <f t="shared" si="14"/>
        <v>0.553053169259345</v>
      </c>
      <c r="E445" s="83">
        <f t="shared" si="16"/>
        <v>0.457772337821297</v>
      </c>
      <c r="F445" s="84"/>
      <c r="H445" s="90" t="s">
        <v>1652</v>
      </c>
      <c r="I445" s="94">
        <v>1634</v>
      </c>
    </row>
    <row r="446" spans="1:9">
      <c r="A446" s="89" t="s">
        <v>555</v>
      </c>
      <c r="B446" s="81"/>
      <c r="C446" s="81"/>
      <c r="D446" s="82"/>
      <c r="E446" s="83"/>
      <c r="F446" s="84"/>
      <c r="H446" s="90" t="s">
        <v>555</v>
      </c>
      <c r="I446" s="94"/>
    </row>
    <row r="447" spans="1:9">
      <c r="A447" s="89" t="s">
        <v>556</v>
      </c>
      <c r="B447" s="81">
        <f>SUM(B448:B450)</f>
        <v>501</v>
      </c>
      <c r="C447" s="81">
        <f>SUM(C448:C450)</f>
        <v>250</v>
      </c>
      <c r="D447" s="82">
        <f t="shared" si="14"/>
        <v>0.499001996007984</v>
      </c>
      <c r="E447" s="83">
        <f>(C447-I447)/I447</f>
        <v>0.131221719457014</v>
      </c>
      <c r="F447" s="84"/>
      <c r="H447" s="90" t="s">
        <v>556</v>
      </c>
      <c r="I447" s="94">
        <v>221</v>
      </c>
    </row>
    <row r="448" spans="1:9">
      <c r="A448" s="89" t="s">
        <v>584</v>
      </c>
      <c r="B448" s="81"/>
      <c r="C448" s="81"/>
      <c r="D448" s="82"/>
      <c r="E448" s="83">
        <f>(C448-I448)/I448</f>
        <v>-1</v>
      </c>
      <c r="F448" s="84"/>
      <c r="H448" s="90" t="s">
        <v>584</v>
      </c>
      <c r="I448" s="94">
        <v>30</v>
      </c>
    </row>
    <row r="449" spans="1:9">
      <c r="A449" s="89" t="s">
        <v>1653</v>
      </c>
      <c r="B449" s="81"/>
      <c r="C449" s="81">
        <v>30</v>
      </c>
      <c r="D449" s="82"/>
      <c r="E449" s="83"/>
      <c r="F449" s="84"/>
      <c r="H449" s="90" t="s">
        <v>1654</v>
      </c>
      <c r="I449" s="94"/>
    </row>
    <row r="450" ht="18" customHeight="1" spans="1:9">
      <c r="A450" s="89" t="s">
        <v>559</v>
      </c>
      <c r="B450" s="81">
        <v>501</v>
      </c>
      <c r="C450" s="81">
        <v>220</v>
      </c>
      <c r="D450" s="82">
        <f t="shared" si="14"/>
        <v>0.439121756487026</v>
      </c>
      <c r="E450" s="83">
        <f>(C450-I450)/I450</f>
        <v>0.151832460732984</v>
      </c>
      <c r="F450" s="84"/>
      <c r="H450" s="90" t="s">
        <v>1655</v>
      </c>
      <c r="I450" s="94">
        <v>191</v>
      </c>
    </row>
    <row r="451" spans="1:9">
      <c r="A451" s="89" t="s">
        <v>560</v>
      </c>
      <c r="B451" s="81"/>
      <c r="C451" s="81"/>
      <c r="D451" s="82"/>
      <c r="E451" s="83"/>
      <c r="F451" s="84"/>
      <c r="H451" s="90" t="s">
        <v>560</v>
      </c>
      <c r="I451" s="94"/>
    </row>
    <row r="452" spans="1:9">
      <c r="A452" s="99" t="s">
        <v>1656</v>
      </c>
      <c r="B452" s="96">
        <f>SUM(B453,B457,B461,)</f>
        <v>7734</v>
      </c>
      <c r="C452" s="96">
        <f>SUM(C453,C457,C461,)</f>
        <v>7413</v>
      </c>
      <c r="D452" s="82">
        <f t="shared" si="14"/>
        <v>0.958494957331265</v>
      </c>
      <c r="E452" s="83">
        <f>(C452-I452)/I452</f>
        <v>0.40371141829199</v>
      </c>
      <c r="F452" s="84"/>
      <c r="H452" s="100" t="s">
        <v>1656</v>
      </c>
      <c r="I452" s="52">
        <v>5281</v>
      </c>
    </row>
    <row r="453" spans="1:9">
      <c r="A453" s="89" t="s">
        <v>562</v>
      </c>
      <c r="B453" s="81">
        <f>SUM(B454:B456)</f>
        <v>7672</v>
      </c>
      <c r="C453" s="81">
        <f>SUM(C454:C456)</f>
        <v>7411</v>
      </c>
      <c r="D453" s="82">
        <f t="shared" ref="D453:D511" si="17">C453/B453</f>
        <v>0.965980187695516</v>
      </c>
      <c r="E453" s="83">
        <f t="shared" ref="E453:E511" si="18">(C453-I453)/I453</f>
        <v>15.0759219088937</v>
      </c>
      <c r="F453" s="84"/>
      <c r="H453" s="90" t="s">
        <v>562</v>
      </c>
      <c r="I453" s="94">
        <v>461</v>
      </c>
    </row>
    <row r="454" spans="1:9">
      <c r="A454" s="89" t="s">
        <v>584</v>
      </c>
      <c r="B454" s="81">
        <v>521</v>
      </c>
      <c r="C454" s="81">
        <v>428</v>
      </c>
      <c r="D454" s="82">
        <f t="shared" si="17"/>
        <v>0.821497120921305</v>
      </c>
      <c r="E454" s="83">
        <f t="shared" si="18"/>
        <v>0.460750853242321</v>
      </c>
      <c r="F454" s="84"/>
      <c r="H454" s="90" t="s">
        <v>584</v>
      </c>
      <c r="I454" s="94">
        <v>293</v>
      </c>
    </row>
    <row r="455" spans="1:9">
      <c r="A455" s="89" t="s">
        <v>1570</v>
      </c>
      <c r="B455" s="81">
        <v>407</v>
      </c>
      <c r="C455" s="81">
        <v>189</v>
      </c>
      <c r="D455" s="82">
        <f t="shared" si="17"/>
        <v>0.464373464373464</v>
      </c>
      <c r="E455" s="83">
        <f t="shared" si="18"/>
        <v>0.125</v>
      </c>
      <c r="F455" s="84"/>
      <c r="H455" s="90" t="s">
        <v>1571</v>
      </c>
      <c r="I455" s="94">
        <v>168</v>
      </c>
    </row>
    <row r="456" spans="1:9">
      <c r="A456" s="89" t="s">
        <v>1657</v>
      </c>
      <c r="B456" s="81">
        <v>6744</v>
      </c>
      <c r="C456" s="81">
        <v>6794</v>
      </c>
      <c r="D456" s="82">
        <f t="shared" si="17"/>
        <v>1.00741399762752</v>
      </c>
      <c r="E456" s="83"/>
      <c r="F456" s="84"/>
      <c r="H456" s="90" t="s">
        <v>1658</v>
      </c>
      <c r="I456" s="94"/>
    </row>
    <row r="457" spans="1:9">
      <c r="A457" s="89" t="s">
        <v>566</v>
      </c>
      <c r="B457" s="81">
        <f>SUM(B458:B459)</f>
        <v>62</v>
      </c>
      <c r="C457" s="81">
        <f>SUM(C458:C459)</f>
        <v>2</v>
      </c>
      <c r="D457" s="82">
        <f t="shared" si="17"/>
        <v>0.032258064516129</v>
      </c>
      <c r="E457" s="83">
        <f t="shared" si="18"/>
        <v>-0.916666666666667</v>
      </c>
      <c r="F457" s="84"/>
      <c r="H457" s="90" t="s">
        <v>566</v>
      </c>
      <c r="I457" s="94">
        <v>24</v>
      </c>
    </row>
    <row r="458" spans="1:9">
      <c r="A458" s="89" t="s">
        <v>1659</v>
      </c>
      <c r="B458" s="81">
        <v>50</v>
      </c>
      <c r="C458" s="81">
        <v>2</v>
      </c>
      <c r="D458" s="82">
        <f t="shared" si="17"/>
        <v>0.04</v>
      </c>
      <c r="E458" s="83"/>
      <c r="F458" s="84"/>
      <c r="H458" s="90"/>
      <c r="I458" s="94"/>
    </row>
    <row r="459" spans="1:9">
      <c r="A459" s="89" t="s">
        <v>1660</v>
      </c>
      <c r="B459" s="81">
        <v>12</v>
      </c>
      <c r="C459" s="81"/>
      <c r="D459" s="82">
        <f t="shared" si="17"/>
        <v>0</v>
      </c>
      <c r="E459" s="83">
        <f t="shared" si="18"/>
        <v>-1</v>
      </c>
      <c r="F459" s="84"/>
      <c r="H459" s="90" t="s">
        <v>1661</v>
      </c>
      <c r="I459" s="94">
        <v>24</v>
      </c>
    </row>
    <row r="460" spans="1:9">
      <c r="A460" s="89" t="s">
        <v>1662</v>
      </c>
      <c r="B460" s="81"/>
      <c r="C460" s="81"/>
      <c r="D460" s="82"/>
      <c r="E460" s="83"/>
      <c r="F460" s="84"/>
      <c r="H460" s="90" t="s">
        <v>1662</v>
      </c>
      <c r="I460" s="94"/>
    </row>
    <row r="461" spans="1:9">
      <c r="A461" s="89" t="s">
        <v>1663</v>
      </c>
      <c r="B461" s="81"/>
      <c r="C461" s="81"/>
      <c r="D461" s="82"/>
      <c r="E461" s="83"/>
      <c r="F461" s="84"/>
      <c r="H461" s="90" t="s">
        <v>1663</v>
      </c>
      <c r="I461" s="94">
        <v>4796</v>
      </c>
    </row>
    <row r="462" spans="1:9">
      <c r="A462" s="99" t="s">
        <v>77</v>
      </c>
      <c r="B462" s="96"/>
      <c r="C462" s="96">
        <v>437</v>
      </c>
      <c r="D462" s="82"/>
      <c r="E462" s="83"/>
      <c r="F462" s="84"/>
      <c r="H462" s="100" t="s">
        <v>77</v>
      </c>
      <c r="I462" s="52"/>
    </row>
    <row r="463" spans="1:9">
      <c r="A463" s="89" t="s">
        <v>572</v>
      </c>
      <c r="B463" s="96"/>
      <c r="C463" s="96"/>
      <c r="D463" s="82"/>
      <c r="E463" s="83"/>
      <c r="F463" s="84"/>
      <c r="H463" s="90" t="s">
        <v>572</v>
      </c>
      <c r="I463" s="52"/>
    </row>
    <row r="464" spans="1:9">
      <c r="A464" s="89" t="s">
        <v>573</v>
      </c>
      <c r="B464" s="96"/>
      <c r="C464" s="96"/>
      <c r="D464" s="82"/>
      <c r="E464" s="83"/>
      <c r="F464" s="84"/>
      <c r="H464" s="90" t="s">
        <v>573</v>
      </c>
      <c r="I464" s="52"/>
    </row>
    <row r="465" spans="1:9">
      <c r="A465" s="89" t="s">
        <v>574</v>
      </c>
      <c r="B465" s="96"/>
      <c r="C465" s="96">
        <v>437</v>
      </c>
      <c r="D465" s="82"/>
      <c r="E465" s="83"/>
      <c r="F465" s="84"/>
      <c r="H465" s="90" t="s">
        <v>574</v>
      </c>
      <c r="I465" s="52"/>
    </row>
    <row r="466" spans="1:9">
      <c r="A466" s="99" t="s">
        <v>78</v>
      </c>
      <c r="B466" s="96"/>
      <c r="C466" s="96"/>
      <c r="D466" s="82"/>
      <c r="E466" s="83"/>
      <c r="F466" s="84"/>
      <c r="H466" s="100" t="s">
        <v>78</v>
      </c>
      <c r="I466" s="52"/>
    </row>
    <row r="467" spans="1:9">
      <c r="A467" s="89" t="s">
        <v>575</v>
      </c>
      <c r="B467" s="81"/>
      <c r="C467" s="81"/>
      <c r="D467" s="82"/>
      <c r="E467" s="83"/>
      <c r="F467" s="84"/>
      <c r="H467" s="90" t="s">
        <v>575</v>
      </c>
      <c r="I467" s="94"/>
    </row>
    <row r="468" spans="1:9">
      <c r="A468" s="84" t="s">
        <v>79</v>
      </c>
      <c r="B468" s="96">
        <f>SUM(B469,B475,B476,B477,B479)</f>
        <v>6392</v>
      </c>
      <c r="C468" s="96">
        <f>SUM(C469,C475,C476,C477,C479)</f>
        <v>4369</v>
      </c>
      <c r="D468" s="82">
        <f t="shared" si="17"/>
        <v>0.683510638297872</v>
      </c>
      <c r="E468" s="83">
        <f t="shared" si="18"/>
        <v>3.00458295142071</v>
      </c>
      <c r="F468" s="84"/>
      <c r="H468" s="104" t="s">
        <v>79</v>
      </c>
      <c r="I468" s="52">
        <v>1091</v>
      </c>
    </row>
    <row r="469" spans="1:9">
      <c r="A469" s="89" t="s">
        <v>576</v>
      </c>
      <c r="B469" s="81">
        <f>SUM(B470:B474)</f>
        <v>6094</v>
      </c>
      <c r="C469" s="81">
        <f>SUM(C470:C474)</f>
        <v>4289</v>
      </c>
      <c r="D469" s="82">
        <f t="shared" si="17"/>
        <v>0.703807023301608</v>
      </c>
      <c r="E469" s="83">
        <f t="shared" si="18"/>
        <v>3.34109311740891</v>
      </c>
      <c r="F469" s="84"/>
      <c r="H469" s="90" t="s">
        <v>576</v>
      </c>
      <c r="I469" s="94">
        <v>988</v>
      </c>
    </row>
    <row r="470" spans="1:9">
      <c r="A470" s="89" t="s">
        <v>584</v>
      </c>
      <c r="B470" s="81">
        <v>170</v>
      </c>
      <c r="C470" s="81">
        <v>86</v>
      </c>
      <c r="D470" s="82">
        <f t="shared" si="17"/>
        <v>0.505882352941176</v>
      </c>
      <c r="E470" s="83">
        <f t="shared" si="18"/>
        <v>0.283582089552239</v>
      </c>
      <c r="F470" s="84"/>
      <c r="H470" s="90" t="s">
        <v>584</v>
      </c>
      <c r="I470" s="94">
        <v>67</v>
      </c>
    </row>
    <row r="471" spans="1:9">
      <c r="A471" s="89" t="s">
        <v>1664</v>
      </c>
      <c r="B471" s="81">
        <v>2008</v>
      </c>
      <c r="C471" s="81">
        <v>1928</v>
      </c>
      <c r="D471" s="82">
        <f t="shared" si="17"/>
        <v>0.960159362549801</v>
      </c>
      <c r="E471" s="83">
        <f t="shared" si="18"/>
        <v>8.64</v>
      </c>
      <c r="F471" s="84"/>
      <c r="H471" s="91" t="s">
        <v>1664</v>
      </c>
      <c r="I471" s="94">
        <v>200</v>
      </c>
    </row>
    <row r="472" spans="1:9">
      <c r="A472" s="89" t="s">
        <v>579</v>
      </c>
      <c r="B472" s="81">
        <v>1666</v>
      </c>
      <c r="C472" s="81">
        <v>879</v>
      </c>
      <c r="D472" s="82">
        <f t="shared" si="17"/>
        <v>0.527611044417767</v>
      </c>
      <c r="E472" s="83">
        <f t="shared" si="18"/>
        <v>19.4418604651163</v>
      </c>
      <c r="F472" s="84"/>
      <c r="H472" s="90" t="s">
        <v>1665</v>
      </c>
      <c r="I472" s="94">
        <v>43</v>
      </c>
    </row>
    <row r="473" spans="1:9">
      <c r="A473" s="89" t="s">
        <v>1570</v>
      </c>
      <c r="B473" s="81">
        <v>1989</v>
      </c>
      <c r="C473" s="81">
        <v>769</v>
      </c>
      <c r="D473" s="82">
        <f t="shared" si="17"/>
        <v>0.386626445449975</v>
      </c>
      <c r="E473" s="83">
        <f t="shared" si="18"/>
        <v>0.35626102292769</v>
      </c>
      <c r="F473" s="84"/>
      <c r="H473" s="90" t="s">
        <v>1570</v>
      </c>
      <c r="I473" s="94">
        <v>567</v>
      </c>
    </row>
    <row r="474" spans="1:9">
      <c r="A474" s="89" t="s">
        <v>1666</v>
      </c>
      <c r="B474" s="81">
        <v>261</v>
      </c>
      <c r="C474" s="81">
        <v>627</v>
      </c>
      <c r="D474" s="82">
        <f t="shared" si="17"/>
        <v>2.40229885057471</v>
      </c>
      <c r="E474" s="83">
        <f t="shared" si="18"/>
        <v>4.64864864864865</v>
      </c>
      <c r="F474" s="84"/>
      <c r="H474" s="90" t="s">
        <v>1667</v>
      </c>
      <c r="I474" s="94">
        <v>111</v>
      </c>
    </row>
    <row r="475" spans="1:9">
      <c r="A475" s="89" t="s">
        <v>582</v>
      </c>
      <c r="B475" s="81"/>
      <c r="C475" s="81"/>
      <c r="D475" s="82"/>
      <c r="E475" s="83"/>
      <c r="F475" s="84"/>
      <c r="H475" s="90" t="s">
        <v>582</v>
      </c>
      <c r="I475" s="94"/>
    </row>
    <row r="476" spans="1:9">
      <c r="A476" s="89" t="s">
        <v>583</v>
      </c>
      <c r="B476" s="81">
        <v>100</v>
      </c>
      <c r="C476" s="81"/>
      <c r="D476" s="82">
        <f t="shared" si="17"/>
        <v>0</v>
      </c>
      <c r="E476" s="83"/>
      <c r="F476" s="84"/>
      <c r="H476" s="90" t="s">
        <v>583</v>
      </c>
      <c r="I476" s="94"/>
    </row>
    <row r="477" spans="1:9">
      <c r="A477" s="89" t="s">
        <v>585</v>
      </c>
      <c r="B477" s="81">
        <f>SUM(B478)</f>
        <v>152</v>
      </c>
      <c r="C477" s="81">
        <f>SUM(C478)</f>
        <v>65</v>
      </c>
      <c r="D477" s="82">
        <f t="shared" si="17"/>
        <v>0.427631578947368</v>
      </c>
      <c r="E477" s="83">
        <f t="shared" si="18"/>
        <v>-0.0151515151515152</v>
      </c>
      <c r="F477" s="84"/>
      <c r="H477" s="90" t="s">
        <v>585</v>
      </c>
      <c r="I477" s="94">
        <v>66</v>
      </c>
    </row>
    <row r="478" spans="1:9">
      <c r="A478" s="89" t="s">
        <v>1668</v>
      </c>
      <c r="B478" s="81">
        <v>152</v>
      </c>
      <c r="C478" s="81">
        <v>65</v>
      </c>
      <c r="D478" s="82">
        <f t="shared" si="17"/>
        <v>0.427631578947368</v>
      </c>
      <c r="E478" s="83">
        <f t="shared" si="18"/>
        <v>-0.0151515151515152</v>
      </c>
      <c r="F478" s="84"/>
      <c r="H478" s="90" t="s">
        <v>1669</v>
      </c>
      <c r="I478" s="94">
        <v>66</v>
      </c>
    </row>
    <row r="479" spans="1:9">
      <c r="A479" s="89" t="s">
        <v>587</v>
      </c>
      <c r="B479" s="81">
        <f>SUM(B480:B481)</f>
        <v>46</v>
      </c>
      <c r="C479" s="81">
        <f>SUM(C480:C481)</f>
        <v>15</v>
      </c>
      <c r="D479" s="82">
        <f t="shared" si="17"/>
        <v>0.326086956521739</v>
      </c>
      <c r="E479" s="83">
        <f t="shared" si="18"/>
        <v>-0.594594594594595</v>
      </c>
      <c r="F479" s="84"/>
      <c r="H479" s="90" t="s">
        <v>587</v>
      </c>
      <c r="I479" s="94">
        <v>37</v>
      </c>
    </row>
    <row r="480" spans="1:9">
      <c r="A480" s="89" t="s">
        <v>1670</v>
      </c>
      <c r="B480" s="81">
        <v>3</v>
      </c>
      <c r="C480" s="81"/>
      <c r="D480" s="82">
        <f t="shared" si="17"/>
        <v>0</v>
      </c>
      <c r="E480" s="83"/>
      <c r="F480" s="84"/>
      <c r="H480" s="90"/>
      <c r="I480" s="94"/>
    </row>
    <row r="481" spans="1:9">
      <c r="A481" s="89" t="s">
        <v>588</v>
      </c>
      <c r="B481" s="81">
        <v>43</v>
      </c>
      <c r="C481" s="81">
        <v>15</v>
      </c>
      <c r="D481" s="82">
        <f t="shared" si="17"/>
        <v>0.348837209302326</v>
      </c>
      <c r="E481" s="83">
        <f t="shared" si="18"/>
        <v>-0.594594594594595</v>
      </c>
      <c r="F481" s="84"/>
      <c r="H481" s="90" t="s">
        <v>1671</v>
      </c>
      <c r="I481" s="94">
        <v>37</v>
      </c>
    </row>
    <row r="482" spans="1:9">
      <c r="A482" s="99" t="s">
        <v>80</v>
      </c>
      <c r="B482" s="96">
        <f>SUM(B483,B489,B491)</f>
        <v>10519</v>
      </c>
      <c r="C482" s="96">
        <f>SUM(C483,C489,C491)</f>
        <v>4201</v>
      </c>
      <c r="D482" s="82">
        <f t="shared" si="17"/>
        <v>0.399372563931933</v>
      </c>
      <c r="E482" s="83">
        <f t="shared" si="18"/>
        <v>-0.376150876150876</v>
      </c>
      <c r="F482" s="84"/>
      <c r="H482" s="100" t="s">
        <v>80</v>
      </c>
      <c r="I482" s="52">
        <v>6734</v>
      </c>
    </row>
    <row r="483" spans="1:9">
      <c r="A483" s="89" t="s">
        <v>1672</v>
      </c>
      <c r="B483" s="81">
        <f>SUM(B484:B488)</f>
        <v>2909</v>
      </c>
      <c r="C483" s="81">
        <f>SUM(C484:C488)</f>
        <v>301</v>
      </c>
      <c r="D483" s="82">
        <f t="shared" si="17"/>
        <v>0.103471983499484</v>
      </c>
      <c r="E483" s="83">
        <f t="shared" si="18"/>
        <v>-0.61704834605598</v>
      </c>
      <c r="F483" s="84"/>
      <c r="H483" s="90" t="s">
        <v>1672</v>
      </c>
      <c r="I483" s="94">
        <v>786</v>
      </c>
    </row>
    <row r="484" spans="1:9">
      <c r="A484" s="89" t="s">
        <v>1673</v>
      </c>
      <c r="B484" s="81">
        <v>269</v>
      </c>
      <c r="C484" s="81">
        <v>10</v>
      </c>
      <c r="D484" s="82">
        <f t="shared" si="17"/>
        <v>0.0371747211895911</v>
      </c>
      <c r="E484" s="83">
        <f t="shared" si="18"/>
        <v>-0.963768115942029</v>
      </c>
      <c r="F484" s="84"/>
      <c r="H484" s="90" t="s">
        <v>1674</v>
      </c>
      <c r="I484" s="94">
        <v>276</v>
      </c>
    </row>
    <row r="485" spans="1:9">
      <c r="A485" s="89" t="s">
        <v>1675</v>
      </c>
      <c r="B485" s="81">
        <v>241</v>
      </c>
      <c r="C485" s="81"/>
      <c r="D485" s="82">
        <f t="shared" si="17"/>
        <v>0</v>
      </c>
      <c r="E485" s="83"/>
      <c r="F485" s="84"/>
      <c r="H485" s="90"/>
      <c r="I485" s="94"/>
    </row>
    <row r="486" spans="1:9">
      <c r="A486" s="89" t="s">
        <v>1676</v>
      </c>
      <c r="B486" s="81">
        <f>1356-187</f>
        <v>1169</v>
      </c>
      <c r="C486" s="81">
        <v>139</v>
      </c>
      <c r="D486" s="82">
        <f t="shared" si="17"/>
        <v>0.11890504704876</v>
      </c>
      <c r="E486" s="83">
        <f t="shared" si="18"/>
        <v>-0.727450980392157</v>
      </c>
      <c r="F486" s="84"/>
      <c r="H486" s="90" t="s">
        <v>1677</v>
      </c>
      <c r="I486" s="94">
        <v>510</v>
      </c>
    </row>
    <row r="487" spans="1:9">
      <c r="A487" s="89" t="s">
        <v>1678</v>
      </c>
      <c r="B487" s="81">
        <v>5</v>
      </c>
      <c r="C487" s="81"/>
      <c r="D487" s="82">
        <f t="shared" si="17"/>
        <v>0</v>
      </c>
      <c r="E487" s="83"/>
      <c r="F487" s="84"/>
      <c r="H487" s="90" t="s">
        <v>1679</v>
      </c>
      <c r="I487" s="94"/>
    </row>
    <row r="488" spans="1:9">
      <c r="A488" s="89" t="s">
        <v>1680</v>
      </c>
      <c r="B488" s="81">
        <v>1225</v>
      </c>
      <c r="C488" s="81">
        <v>152</v>
      </c>
      <c r="D488" s="82">
        <f t="shared" si="17"/>
        <v>0.124081632653061</v>
      </c>
      <c r="E488" s="83"/>
      <c r="F488" s="84"/>
      <c r="H488" s="90" t="s">
        <v>1681</v>
      </c>
      <c r="I488" s="94"/>
    </row>
    <row r="489" spans="1:9">
      <c r="A489" s="89" t="s">
        <v>597</v>
      </c>
      <c r="B489" s="81">
        <f>SUM(B490)</f>
        <v>7173</v>
      </c>
      <c r="C489" s="81">
        <f>SUM(C490)</f>
        <v>3675</v>
      </c>
      <c r="D489" s="82">
        <f t="shared" si="17"/>
        <v>0.512337933918862</v>
      </c>
      <c r="E489" s="83">
        <f t="shared" si="18"/>
        <v>-0.365284974093264</v>
      </c>
      <c r="F489" s="84"/>
      <c r="H489" s="90" t="s">
        <v>597</v>
      </c>
      <c r="I489" s="94">
        <v>5790</v>
      </c>
    </row>
    <row r="490" spans="1:9">
      <c r="A490" s="89" t="s">
        <v>1682</v>
      </c>
      <c r="B490" s="81">
        <f>7159+14</f>
        <v>7173</v>
      </c>
      <c r="C490" s="81">
        <v>3675</v>
      </c>
      <c r="D490" s="82">
        <f t="shared" si="17"/>
        <v>0.512337933918862</v>
      </c>
      <c r="E490" s="83">
        <f t="shared" si="18"/>
        <v>-0.365284974093264</v>
      </c>
      <c r="F490" s="84"/>
      <c r="H490" s="90" t="s">
        <v>1683</v>
      </c>
      <c r="I490" s="94">
        <v>5790</v>
      </c>
    </row>
    <row r="491" spans="1:9">
      <c r="A491" s="89" t="s">
        <v>599</v>
      </c>
      <c r="B491" s="81">
        <f>SUM(B492:B493)</f>
        <v>437</v>
      </c>
      <c r="C491" s="81">
        <f>SUM(C492:C493)</f>
        <v>225</v>
      </c>
      <c r="D491" s="82">
        <f t="shared" si="17"/>
        <v>0.51487414187643</v>
      </c>
      <c r="E491" s="83">
        <f t="shared" si="18"/>
        <v>0.424050632911392</v>
      </c>
      <c r="F491" s="84"/>
      <c r="H491" s="90" t="s">
        <v>599</v>
      </c>
      <c r="I491" s="94">
        <v>158</v>
      </c>
    </row>
    <row r="492" spans="1:9">
      <c r="A492" s="89" t="s">
        <v>1684</v>
      </c>
      <c r="B492" s="81">
        <v>415</v>
      </c>
      <c r="C492" s="81">
        <v>225</v>
      </c>
      <c r="D492" s="82">
        <f t="shared" si="17"/>
        <v>0.542168674698795</v>
      </c>
      <c r="E492" s="83">
        <f t="shared" si="18"/>
        <v>0.424050632911392</v>
      </c>
      <c r="F492" s="84"/>
      <c r="H492" s="90" t="s">
        <v>1685</v>
      </c>
      <c r="I492" s="94">
        <v>158</v>
      </c>
    </row>
    <row r="493" spans="1:9">
      <c r="A493" s="89" t="s">
        <v>1686</v>
      </c>
      <c r="B493" s="81">
        <v>22</v>
      </c>
      <c r="C493" s="81"/>
      <c r="D493" s="82">
        <f t="shared" si="17"/>
        <v>0</v>
      </c>
      <c r="E493" s="83"/>
      <c r="F493" s="84"/>
      <c r="H493" s="90" t="s">
        <v>1687</v>
      </c>
      <c r="I493" s="94"/>
    </row>
    <row r="494" spans="1:9">
      <c r="A494" s="105" t="s">
        <v>81</v>
      </c>
      <c r="B494" s="96">
        <f>SUM(B495,B497,B499,B501,)</f>
        <v>257</v>
      </c>
      <c r="C494" s="96">
        <f>SUM(C495,C497,C499,C501,)</f>
        <v>113</v>
      </c>
      <c r="D494" s="82">
        <f t="shared" si="17"/>
        <v>0.439688715953307</v>
      </c>
      <c r="E494" s="83">
        <f t="shared" si="18"/>
        <v>-0.0087719298245614</v>
      </c>
      <c r="F494" s="84"/>
      <c r="H494" s="106" t="s">
        <v>81</v>
      </c>
      <c r="I494" s="52">
        <v>114</v>
      </c>
    </row>
    <row r="495" spans="1:9">
      <c r="A495" s="89" t="s">
        <v>602</v>
      </c>
      <c r="B495" s="81">
        <f>SUM(B496)</f>
        <v>195</v>
      </c>
      <c r="C495" s="81">
        <f>SUM(C496)</f>
        <v>88</v>
      </c>
      <c r="D495" s="82">
        <f t="shared" si="17"/>
        <v>0.451282051282051</v>
      </c>
      <c r="E495" s="83">
        <f t="shared" si="18"/>
        <v>-0.0112359550561798</v>
      </c>
      <c r="F495" s="84"/>
      <c r="H495" s="90" t="s">
        <v>602</v>
      </c>
      <c r="I495" s="94">
        <v>89</v>
      </c>
    </row>
    <row r="496" spans="1:9">
      <c r="A496" s="89" t="s">
        <v>1570</v>
      </c>
      <c r="B496" s="81">
        <v>195</v>
      </c>
      <c r="C496" s="81">
        <v>88</v>
      </c>
      <c r="D496" s="82">
        <f t="shared" si="17"/>
        <v>0.451282051282051</v>
      </c>
      <c r="E496" s="83">
        <f t="shared" si="18"/>
        <v>-0.0112359550561798</v>
      </c>
      <c r="F496" s="84"/>
      <c r="H496" s="90" t="s">
        <v>1570</v>
      </c>
      <c r="I496" s="94">
        <v>89</v>
      </c>
    </row>
    <row r="497" spans="1:9">
      <c r="A497" s="89" t="s">
        <v>605</v>
      </c>
      <c r="B497" s="81">
        <f>SUM(B498)</f>
        <v>62</v>
      </c>
      <c r="C497" s="81">
        <f>SUM(C498)</f>
        <v>25</v>
      </c>
      <c r="D497" s="82">
        <f t="shared" si="17"/>
        <v>0.403225806451613</v>
      </c>
      <c r="E497" s="83">
        <f t="shared" si="18"/>
        <v>0</v>
      </c>
      <c r="F497" s="84"/>
      <c r="H497" s="90" t="s">
        <v>605</v>
      </c>
      <c r="I497" s="94">
        <v>25</v>
      </c>
    </row>
    <row r="498" spans="1:9">
      <c r="A498" s="89" t="s">
        <v>1570</v>
      </c>
      <c r="B498" s="81">
        <v>62</v>
      </c>
      <c r="C498" s="81">
        <v>25</v>
      </c>
      <c r="D498" s="82">
        <f t="shared" si="17"/>
        <v>0.403225806451613</v>
      </c>
      <c r="E498" s="83">
        <f t="shared" si="18"/>
        <v>0</v>
      </c>
      <c r="F498" s="84"/>
      <c r="H498" s="91" t="s">
        <v>1570</v>
      </c>
      <c r="I498" s="94">
        <v>25</v>
      </c>
    </row>
    <row r="499" spans="1:9">
      <c r="A499" s="89" t="s">
        <v>608</v>
      </c>
      <c r="B499" s="81"/>
      <c r="C499" s="81"/>
      <c r="D499" s="82"/>
      <c r="E499" s="83"/>
      <c r="F499" s="84"/>
      <c r="H499" s="90" t="s">
        <v>608</v>
      </c>
      <c r="I499" s="94"/>
    </row>
    <row r="500" spans="1:9">
      <c r="A500" s="89" t="s">
        <v>609</v>
      </c>
      <c r="B500" s="81"/>
      <c r="C500" s="81"/>
      <c r="D500" s="82"/>
      <c r="E500" s="83"/>
      <c r="F500" s="84"/>
      <c r="H500" s="90" t="s">
        <v>609</v>
      </c>
      <c r="I500" s="94"/>
    </row>
    <row r="501" ht="15" customHeight="1" spans="1:9">
      <c r="A501" s="89" t="s">
        <v>610</v>
      </c>
      <c r="B501" s="81"/>
      <c r="C501" s="81"/>
      <c r="D501" s="82"/>
      <c r="E501" s="83"/>
      <c r="F501" s="84"/>
      <c r="H501" s="90" t="s">
        <v>610</v>
      </c>
      <c r="I501" s="94"/>
    </row>
    <row r="502" spans="1:9">
      <c r="A502" s="107" t="s">
        <v>1688</v>
      </c>
      <c r="B502" s="108">
        <v>4000</v>
      </c>
      <c r="C502" s="108"/>
      <c r="D502" s="82">
        <f t="shared" si="17"/>
        <v>0</v>
      </c>
      <c r="E502" s="83"/>
      <c r="F502" s="84"/>
      <c r="H502" s="109" t="s">
        <v>1688</v>
      </c>
      <c r="I502" s="114"/>
    </row>
    <row r="503" spans="1:9">
      <c r="A503" s="99" t="s">
        <v>1689</v>
      </c>
      <c r="B503" s="108">
        <f>SUM(B504:B505)</f>
        <v>8518</v>
      </c>
      <c r="C503" s="108">
        <f>SUM(C504:C505)</f>
        <v>130</v>
      </c>
      <c r="D503" s="82">
        <f t="shared" si="17"/>
        <v>0.0152617985442592</v>
      </c>
      <c r="E503" s="83">
        <f t="shared" si="18"/>
        <v>9.83333333333333</v>
      </c>
      <c r="F503" s="84"/>
      <c r="H503" s="100" t="s">
        <v>1689</v>
      </c>
      <c r="I503" s="114">
        <v>12</v>
      </c>
    </row>
    <row r="504" spans="1:9">
      <c r="A504" s="99" t="s">
        <v>611</v>
      </c>
      <c r="B504" s="108">
        <f>8049+400</f>
        <v>8449</v>
      </c>
      <c r="C504" s="108"/>
      <c r="D504" s="82">
        <f t="shared" si="17"/>
        <v>0</v>
      </c>
      <c r="E504" s="83">
        <f t="shared" si="18"/>
        <v>-1</v>
      </c>
      <c r="F504" s="84"/>
      <c r="H504" s="91" t="s">
        <v>613</v>
      </c>
      <c r="I504" s="114">
        <v>12</v>
      </c>
    </row>
    <row r="505" spans="1:9">
      <c r="A505" s="89" t="s">
        <v>612</v>
      </c>
      <c r="B505" s="108">
        <f>469-400</f>
        <v>69</v>
      </c>
      <c r="C505" s="108">
        <v>130</v>
      </c>
      <c r="D505" s="82">
        <f t="shared" si="17"/>
        <v>1.88405797101449</v>
      </c>
      <c r="E505" s="83">
        <f t="shared" si="18"/>
        <v>9.83333333333333</v>
      </c>
      <c r="F505" s="84"/>
      <c r="H505" s="91" t="s">
        <v>1690</v>
      </c>
      <c r="I505" s="114">
        <v>12</v>
      </c>
    </row>
    <row r="506" spans="1:9">
      <c r="A506" s="99" t="s">
        <v>1691</v>
      </c>
      <c r="B506" s="108">
        <v>8267</v>
      </c>
      <c r="C506" s="108">
        <v>5824</v>
      </c>
      <c r="D506" s="82">
        <f t="shared" si="17"/>
        <v>0.704487722269263</v>
      </c>
      <c r="E506" s="83">
        <f t="shared" si="18"/>
        <v>0.0637442922374429</v>
      </c>
      <c r="F506" s="84"/>
      <c r="H506" s="100" t="s">
        <v>1691</v>
      </c>
      <c r="I506" s="114">
        <v>5475</v>
      </c>
    </row>
    <row r="507" spans="1:9">
      <c r="A507" s="89" t="s">
        <v>614</v>
      </c>
      <c r="B507" s="108">
        <v>8267</v>
      </c>
      <c r="C507" s="108">
        <v>5824</v>
      </c>
      <c r="D507" s="82">
        <f t="shared" si="17"/>
        <v>0.704487722269263</v>
      </c>
      <c r="E507" s="83">
        <f t="shared" si="18"/>
        <v>0.0637442922374429</v>
      </c>
      <c r="F507" s="84"/>
      <c r="H507" s="91" t="s">
        <v>1692</v>
      </c>
      <c r="I507" s="114">
        <v>5475</v>
      </c>
    </row>
    <row r="508" ht="18" customHeight="1" spans="1:9">
      <c r="A508" s="89" t="s">
        <v>615</v>
      </c>
      <c r="B508" s="108"/>
      <c r="C508" s="108"/>
      <c r="D508" s="82"/>
      <c r="E508" s="83">
        <f t="shared" si="18"/>
        <v>-1</v>
      </c>
      <c r="F508" s="84"/>
      <c r="H508" s="91" t="s">
        <v>1693</v>
      </c>
      <c r="I508" s="114">
        <v>5475</v>
      </c>
    </row>
    <row r="509" spans="1:9">
      <c r="A509" s="89" t="s">
        <v>1694</v>
      </c>
      <c r="B509" s="108"/>
      <c r="C509" s="108"/>
      <c r="D509" s="82"/>
      <c r="E509" s="83"/>
      <c r="F509" s="84"/>
      <c r="H509" s="90" t="s">
        <v>1694</v>
      </c>
      <c r="I509" s="114"/>
    </row>
    <row r="510" spans="1:9">
      <c r="A510" s="89" t="s">
        <v>1695</v>
      </c>
      <c r="B510" s="108"/>
      <c r="C510" s="108"/>
      <c r="D510" s="82"/>
      <c r="E510" s="83"/>
      <c r="F510" s="84"/>
      <c r="H510" s="90" t="s">
        <v>1696</v>
      </c>
      <c r="I510" s="114"/>
    </row>
    <row r="511" spans="1:9">
      <c r="A511" s="110" t="s">
        <v>1697</v>
      </c>
      <c r="B511" s="111">
        <f>B503+B506+B502+B494+B482+B468+B466+B462+B452+B420+B368+B323+B277+B201+B171+B152+B126+B94+B90+B87+B4+B353+B436+B509</f>
        <v>336282</v>
      </c>
      <c r="C511" s="111">
        <f>C503+C506+C502+C494+C482+C468+C466+C462+C452+C420+C368+C323+C277+C201+C171+C152+C126+C94+C90+C87+C4+C353+C436+C509</f>
        <v>183204</v>
      </c>
      <c r="D511" s="82">
        <f t="shared" si="17"/>
        <v>0.544792763216586</v>
      </c>
      <c r="E511" s="82">
        <f t="shared" si="18"/>
        <v>0.408199972328552</v>
      </c>
      <c r="F511" s="84"/>
      <c r="H511" s="112" t="s">
        <v>1697</v>
      </c>
      <c r="I511" s="115">
        <v>130098</v>
      </c>
    </row>
    <row r="512" s="63" customFormat="1" ht="18" customHeight="1" spans="1:9">
      <c r="A512" s="113" t="s">
        <v>1698</v>
      </c>
      <c r="B512" s="113"/>
      <c r="C512" s="113"/>
      <c r="D512" s="113"/>
      <c r="E512" s="113"/>
      <c r="F512" s="113"/>
      <c r="H512" s="66"/>
      <c r="I512" s="66"/>
    </row>
    <row r="513" s="63" customFormat="1" ht="18" customHeight="1" spans="1:9">
      <c r="A513" s="116" t="s">
        <v>1699</v>
      </c>
      <c r="B513" s="116"/>
      <c r="C513" s="116"/>
      <c r="D513" s="116"/>
      <c r="E513" s="116"/>
      <c r="F513" s="116"/>
      <c r="H513" s="117"/>
      <c r="I513" s="122"/>
    </row>
    <row r="514" ht="22.5" customHeight="1" spans="1:9">
      <c r="A514" s="118"/>
      <c r="B514" s="118"/>
      <c r="C514" s="118"/>
      <c r="D514" s="118"/>
      <c r="E514" s="118"/>
      <c r="F514" s="119"/>
      <c r="H514" s="120"/>
      <c r="I514" s="123"/>
    </row>
    <row r="515" ht="22.5" customHeight="1" spans="8:9">
      <c r="H515" s="121"/>
      <c r="I515" s="124"/>
    </row>
    <row r="516" ht="22.5" customHeight="1"/>
  </sheetData>
  <mergeCells count="2">
    <mergeCell ref="A1:F1"/>
    <mergeCell ref="A512:F512"/>
  </mergeCells>
  <printOptions horizontalCentered="1"/>
  <pageMargins left="0.786805555555556" right="0.786805555555556" top="0.786805555555556" bottom="0.707638888888889" header="0" footer="0"/>
  <pageSetup paperSize="9" firstPageNumber="55" orientation="landscape" useFirstPageNumber="1"/>
  <headerFooter alignWithMargins="0">
    <evenFooter>&amp;C-2-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A1" sqref="$A1:$XFD1048576"/>
    </sheetView>
  </sheetViews>
  <sheetFormatPr defaultColWidth="9" defaultRowHeight="14.25"/>
  <cols>
    <col min="1" max="1" width="32" customWidth="1"/>
    <col min="2" max="2" width="16.5" customWidth="1"/>
    <col min="3" max="3" width="16.75" customWidth="1"/>
    <col min="4" max="4" width="15.75" customWidth="1"/>
    <col min="5" max="5" width="14.5" customWidth="1"/>
    <col min="6" max="6" width="21.375" customWidth="1"/>
    <col min="8" max="8" width="31.375" hidden="1" customWidth="1"/>
    <col min="9" max="9" width="9.25" hidden="1" customWidth="1"/>
  </cols>
  <sheetData>
    <row r="1" ht="39" customHeight="1" spans="1:6">
      <c r="A1" s="4" t="s">
        <v>1700</v>
      </c>
      <c r="B1" s="4"/>
      <c r="C1" s="4"/>
      <c r="D1" s="4"/>
      <c r="E1" s="4"/>
      <c r="F1" s="4"/>
    </row>
    <row r="2" ht="19.5" customHeight="1" spans="1:6">
      <c r="A2" s="6" t="s">
        <v>1701</v>
      </c>
      <c r="B2" s="6"/>
      <c r="C2" s="6"/>
      <c r="D2" s="6"/>
      <c r="E2" s="6"/>
      <c r="F2" s="26" t="s">
        <v>2</v>
      </c>
    </row>
    <row r="3" ht="45.95" customHeight="1" spans="1:9">
      <c r="A3" s="33" t="s">
        <v>1702</v>
      </c>
      <c r="B3" s="33" t="s">
        <v>1268</v>
      </c>
      <c r="C3" s="34" t="s">
        <v>1269</v>
      </c>
      <c r="D3" s="34" t="s">
        <v>1270</v>
      </c>
      <c r="E3" s="34" t="s">
        <v>1271</v>
      </c>
      <c r="F3" s="33" t="s">
        <v>683</v>
      </c>
      <c r="H3" s="29" t="s">
        <v>1702</v>
      </c>
      <c r="I3" s="29" t="s">
        <v>1703</v>
      </c>
    </row>
    <row r="4" s="2" customFormat="1" ht="35.25" customHeight="1" spans="1:9">
      <c r="A4" s="55" t="s">
        <v>42</v>
      </c>
      <c r="B4" s="36">
        <v>51720</v>
      </c>
      <c r="C4" s="36">
        <v>20415</v>
      </c>
      <c r="D4" s="37">
        <f>C4/B4</f>
        <v>0.394721577726218</v>
      </c>
      <c r="E4" s="38">
        <f>(C4-I4)/I4</f>
        <v>-0.19330619986565</v>
      </c>
      <c r="F4" s="15"/>
      <c r="H4" s="56" t="s">
        <v>42</v>
      </c>
      <c r="I4" s="51">
        <v>25307</v>
      </c>
    </row>
    <row r="5" s="2" customFormat="1" ht="35.25" customHeight="1" spans="1:9">
      <c r="A5" s="55" t="s">
        <v>43</v>
      </c>
      <c r="B5" s="36">
        <v>135</v>
      </c>
      <c r="C5" s="36">
        <v>663</v>
      </c>
      <c r="D5" s="37">
        <f>C5/B5</f>
        <v>4.91111111111111</v>
      </c>
      <c r="E5" s="38">
        <f t="shared" ref="E5:E11" si="0">(C5-I5)/I5</f>
        <v>220</v>
      </c>
      <c r="F5" s="15"/>
      <c r="H5" s="56" t="s">
        <v>43</v>
      </c>
      <c r="I5" s="51">
        <v>3</v>
      </c>
    </row>
    <row r="6" s="2" customFormat="1" ht="35.25" customHeight="1" spans="1:9">
      <c r="A6" s="55" t="s">
        <v>44</v>
      </c>
      <c r="B6" s="36">
        <v>6000</v>
      </c>
      <c r="C6" s="36">
        <v>2222</v>
      </c>
      <c r="D6" s="37">
        <f>C6/B6</f>
        <v>0.370333333333333</v>
      </c>
      <c r="E6" s="38">
        <f t="shared" si="0"/>
        <v>-0.197254335260116</v>
      </c>
      <c r="F6" s="15"/>
      <c r="H6" s="56" t="s">
        <v>44</v>
      </c>
      <c r="I6" s="51">
        <v>2768</v>
      </c>
    </row>
    <row r="7" s="2" customFormat="1" ht="35.25" customHeight="1" spans="1:9">
      <c r="A7" s="55" t="s">
        <v>45</v>
      </c>
      <c r="B7" s="36">
        <v>392</v>
      </c>
      <c r="C7" s="36">
        <v>262</v>
      </c>
      <c r="D7" s="37">
        <f>C7/B7</f>
        <v>0.668367346938776</v>
      </c>
      <c r="E7" s="38">
        <f t="shared" si="0"/>
        <v>-0.333333333333333</v>
      </c>
      <c r="F7" s="15"/>
      <c r="H7" s="56" t="s">
        <v>45</v>
      </c>
      <c r="I7" s="51">
        <v>393</v>
      </c>
    </row>
    <row r="8" s="2" customFormat="1" ht="35.25" customHeight="1" spans="1:9">
      <c r="A8" s="57" t="s">
        <v>46</v>
      </c>
      <c r="B8" s="36"/>
      <c r="C8" s="36"/>
      <c r="D8" s="37"/>
      <c r="E8" s="38">
        <f t="shared" si="0"/>
        <v>-1</v>
      </c>
      <c r="F8" s="15"/>
      <c r="H8" s="57" t="s">
        <v>46</v>
      </c>
      <c r="I8" s="51">
        <v>7</v>
      </c>
    </row>
    <row r="9" s="2" customFormat="1" ht="35.25" customHeight="1" spans="1:9">
      <c r="A9" s="57" t="s">
        <v>47</v>
      </c>
      <c r="B9" s="36">
        <v>530</v>
      </c>
      <c r="C9" s="36">
        <v>556</v>
      </c>
      <c r="D9" s="37">
        <f>C9/B9</f>
        <v>1.04905660377358</v>
      </c>
      <c r="E9" s="38">
        <f t="shared" si="0"/>
        <v>1.30705394190871</v>
      </c>
      <c r="F9" s="15"/>
      <c r="H9" s="57" t="s">
        <v>47</v>
      </c>
      <c r="I9" s="51">
        <v>241</v>
      </c>
    </row>
    <row r="10" s="2" customFormat="1" ht="35.25" customHeight="1" spans="1:9">
      <c r="A10" s="57" t="s">
        <v>48</v>
      </c>
      <c r="B10" s="36"/>
      <c r="C10" s="36">
        <v>7</v>
      </c>
      <c r="D10" s="37"/>
      <c r="E10" s="38">
        <f t="shared" si="0"/>
        <v>0.4</v>
      </c>
      <c r="F10" s="15"/>
      <c r="H10" s="57" t="s">
        <v>48</v>
      </c>
      <c r="I10" s="51">
        <v>5</v>
      </c>
    </row>
    <row r="11" s="54" customFormat="1" ht="35.25" customHeight="1" spans="1:9">
      <c r="A11" s="58" t="s">
        <v>1704</v>
      </c>
      <c r="B11" s="59">
        <f>SUM(B4:B10)</f>
        <v>58777</v>
      </c>
      <c r="C11" s="59">
        <f>SUM(C4:C10)</f>
        <v>24125</v>
      </c>
      <c r="D11" s="37">
        <f>C11/B11</f>
        <v>0.410449665685557</v>
      </c>
      <c r="E11" s="38">
        <f t="shared" si="0"/>
        <v>-0.160110012533073</v>
      </c>
      <c r="F11" s="60"/>
      <c r="H11" s="61" t="s">
        <v>1704</v>
      </c>
      <c r="I11" s="62">
        <f>SUM(I4:I10)</f>
        <v>28724</v>
      </c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75" orientation="landscape" useFirstPageNumber="1"/>
  <headerFooter alignWithMargins="0">
    <evenFooter>&amp;C-2-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56.25" customWidth="1"/>
    <col min="2" max="2" width="14" customWidth="1"/>
    <col min="3" max="3" width="12.25" customWidth="1"/>
    <col min="4" max="4" width="11" customWidth="1"/>
    <col min="5" max="5" width="12.75" customWidth="1"/>
    <col min="6" max="6" width="13.875" customWidth="1"/>
    <col min="8" max="8" width="42.25" style="28" hidden="1" customWidth="1"/>
    <col min="9" max="9" width="12.125" style="29" hidden="1" customWidth="1"/>
    <col min="10" max="10" width="9" hidden="1" customWidth="1"/>
  </cols>
  <sheetData>
    <row r="1" ht="26.1" customHeight="1" spans="1:9">
      <c r="A1" s="4" t="s">
        <v>1705</v>
      </c>
      <c r="B1" s="4"/>
      <c r="C1" s="4"/>
      <c r="D1" s="4"/>
      <c r="E1" s="4"/>
      <c r="F1" s="4"/>
      <c r="H1" s="30"/>
      <c r="I1" s="50"/>
    </row>
    <row r="2" s="17" customFormat="1" ht="18" customHeight="1" spans="1:9">
      <c r="A2" s="31" t="s">
        <v>1706</v>
      </c>
      <c r="B2" s="31"/>
      <c r="C2" s="31"/>
      <c r="D2" s="31"/>
      <c r="E2" s="31"/>
      <c r="F2" s="26" t="s">
        <v>2</v>
      </c>
      <c r="H2" s="32"/>
      <c r="I2" s="50"/>
    </row>
    <row r="3" ht="34.5" customHeight="1" spans="1:9">
      <c r="A3" s="33" t="s">
        <v>1707</v>
      </c>
      <c r="B3" s="33" t="s">
        <v>1268</v>
      </c>
      <c r="C3" s="34" t="s">
        <v>1285</v>
      </c>
      <c r="D3" s="34" t="s">
        <v>1286</v>
      </c>
      <c r="E3" s="34" t="s">
        <v>1271</v>
      </c>
      <c r="F3" s="33" t="s">
        <v>683</v>
      </c>
      <c r="H3" s="29" t="s">
        <v>1707</v>
      </c>
      <c r="I3" s="29" t="s">
        <v>1708</v>
      </c>
    </row>
    <row r="4" s="2" customFormat="1" ht="15" customHeight="1" spans="1:9">
      <c r="A4" s="35" t="s">
        <v>1709</v>
      </c>
      <c r="B4" s="36"/>
      <c r="C4" s="36"/>
      <c r="D4" s="37"/>
      <c r="E4" s="38">
        <f>(C4-I4)/I4</f>
        <v>-1</v>
      </c>
      <c r="F4" s="15"/>
      <c r="H4" s="39" t="s">
        <v>1709</v>
      </c>
      <c r="I4" s="51">
        <v>49</v>
      </c>
    </row>
    <row r="5" s="2" customFormat="1" ht="15" customHeight="1" spans="1:9">
      <c r="A5" s="35" t="s">
        <v>633</v>
      </c>
      <c r="B5" s="36"/>
      <c r="C5" s="36"/>
      <c r="D5" s="37"/>
      <c r="E5" s="38">
        <f>(C5-I5)/I5</f>
        <v>-1</v>
      </c>
      <c r="F5" s="15"/>
      <c r="H5" s="39" t="s">
        <v>633</v>
      </c>
      <c r="I5" s="51">
        <v>49</v>
      </c>
    </row>
    <row r="6" s="2" customFormat="1" ht="15" customHeight="1" spans="1:9">
      <c r="A6" s="40" t="s">
        <v>634</v>
      </c>
      <c r="B6" s="36"/>
      <c r="C6" s="36"/>
      <c r="D6" s="37"/>
      <c r="E6" s="38">
        <f>(C6-I6)/I6</f>
        <v>-1</v>
      </c>
      <c r="F6" s="15"/>
      <c r="H6" s="41" t="s">
        <v>1710</v>
      </c>
      <c r="I6" s="51">
        <v>49</v>
      </c>
    </row>
    <row r="7" s="2" customFormat="1" ht="15" customHeight="1" spans="1:9">
      <c r="A7" s="40" t="s">
        <v>635</v>
      </c>
      <c r="B7" s="36"/>
      <c r="C7" s="36"/>
      <c r="D7" s="37"/>
      <c r="E7" s="38"/>
      <c r="F7" s="15"/>
      <c r="H7" s="41" t="s">
        <v>1711</v>
      </c>
      <c r="I7" s="51"/>
    </row>
    <row r="8" s="2" customFormat="1" ht="15" customHeight="1" spans="1:9">
      <c r="A8" s="35" t="s">
        <v>1712</v>
      </c>
      <c r="B8" s="36">
        <f>B9+B14+B16+B19+B23+B20</f>
        <v>57813</v>
      </c>
      <c r="C8" s="36">
        <f>SUM(C9+C14+C16+C19+C20+C23)</f>
        <v>28492</v>
      </c>
      <c r="D8" s="37">
        <f>C8/B8</f>
        <v>0.492830332278207</v>
      </c>
      <c r="E8" s="38">
        <f>(C8-I8)/I8</f>
        <v>1.7856863511928</v>
      </c>
      <c r="F8" s="15"/>
      <c r="H8" s="39" t="s">
        <v>1712</v>
      </c>
      <c r="I8" s="51">
        <v>10228</v>
      </c>
    </row>
    <row r="9" s="2" customFormat="1" ht="15" customHeight="1" spans="1:9">
      <c r="A9" s="35" t="s">
        <v>638</v>
      </c>
      <c r="B9" s="36">
        <f>SUM(B10:B13)</f>
        <v>50651</v>
      </c>
      <c r="C9" s="36">
        <f>SUM(C10:C13)</f>
        <v>27640</v>
      </c>
      <c r="D9" s="37">
        <f t="shared" ref="D9:D29" si="0">C9/B9</f>
        <v>0.545695050443229</v>
      </c>
      <c r="E9" s="38">
        <f>(C9-I9)/I9</f>
        <v>2.49873417721519</v>
      </c>
      <c r="F9" s="15"/>
      <c r="H9" s="39" t="s">
        <v>638</v>
      </c>
      <c r="I9" s="51">
        <v>7900</v>
      </c>
    </row>
    <row r="10" s="2" customFormat="1" ht="15" customHeight="1" spans="1:9">
      <c r="A10" s="35" t="s">
        <v>1713</v>
      </c>
      <c r="B10" s="36">
        <v>43553</v>
      </c>
      <c r="C10" s="36">
        <v>23860</v>
      </c>
      <c r="D10" s="37">
        <f t="shared" si="0"/>
        <v>0.54783826602071</v>
      </c>
      <c r="E10" s="38">
        <f>(C10-I10)/I10</f>
        <v>2.33240223463687</v>
      </c>
      <c r="F10" s="15"/>
      <c r="H10" s="39" t="s">
        <v>1713</v>
      </c>
      <c r="I10" s="51">
        <v>7160</v>
      </c>
    </row>
    <row r="11" s="27" customFormat="1" ht="15" customHeight="1" spans="1:9">
      <c r="A11" s="42" t="s">
        <v>1714</v>
      </c>
      <c r="B11" s="43"/>
      <c r="C11" s="43"/>
      <c r="D11" s="37"/>
      <c r="E11" s="38">
        <f>(C11-I11)/I11</f>
        <v>-1</v>
      </c>
      <c r="F11" s="44"/>
      <c r="H11" s="45" t="s">
        <v>1714</v>
      </c>
      <c r="I11" s="52">
        <v>740</v>
      </c>
    </row>
    <row r="12" s="27" customFormat="1" ht="15" customHeight="1" spans="1:9">
      <c r="A12" s="42" t="s">
        <v>1715</v>
      </c>
      <c r="B12" s="43"/>
      <c r="C12" s="43">
        <v>310</v>
      </c>
      <c r="D12" s="37"/>
      <c r="E12" s="38"/>
      <c r="F12" s="44"/>
      <c r="H12" s="45"/>
      <c r="I12" s="52"/>
    </row>
    <row r="13" s="2" customFormat="1" ht="15" customHeight="1" spans="1:9">
      <c r="A13" s="40" t="s">
        <v>1716</v>
      </c>
      <c r="B13" s="36">
        <v>7098</v>
      </c>
      <c r="C13" s="36">
        <v>3470</v>
      </c>
      <c r="D13" s="37">
        <f t="shared" si="0"/>
        <v>0.48887010425472</v>
      </c>
      <c r="E13" s="38"/>
      <c r="F13" s="15"/>
      <c r="H13" s="41" t="s">
        <v>1717</v>
      </c>
      <c r="I13" s="51"/>
    </row>
    <row r="14" s="2" customFormat="1" ht="15" customHeight="1" spans="1:9">
      <c r="A14" s="35" t="s">
        <v>648</v>
      </c>
      <c r="B14" s="36"/>
      <c r="C14" s="36"/>
      <c r="D14" s="37"/>
      <c r="E14" s="38"/>
      <c r="F14" s="15"/>
      <c r="H14" s="39" t="s">
        <v>648</v>
      </c>
      <c r="I14" s="51"/>
    </row>
    <row r="15" s="2" customFormat="1" ht="15" customHeight="1" spans="1:9">
      <c r="A15" s="40" t="s">
        <v>651</v>
      </c>
      <c r="B15" s="36"/>
      <c r="C15" s="36"/>
      <c r="D15" s="37"/>
      <c r="E15" s="38"/>
      <c r="F15" s="15"/>
      <c r="H15" s="41" t="s">
        <v>1718</v>
      </c>
      <c r="I15" s="51"/>
    </row>
    <row r="16" s="2" customFormat="1" ht="15" customHeight="1" spans="1:9">
      <c r="A16" s="35" t="s">
        <v>652</v>
      </c>
      <c r="B16" s="36">
        <v>6000</v>
      </c>
      <c r="C16" s="36">
        <v>600</v>
      </c>
      <c r="D16" s="37">
        <f t="shared" si="0"/>
        <v>0.1</v>
      </c>
      <c r="E16" s="38">
        <f>(C16-I16)/I16</f>
        <v>-0.7</v>
      </c>
      <c r="F16" s="15"/>
      <c r="H16" s="39" t="s">
        <v>652</v>
      </c>
      <c r="I16" s="51">
        <v>2000</v>
      </c>
    </row>
    <row r="17" s="2" customFormat="1" ht="15" customHeight="1" spans="1:9">
      <c r="A17" s="35" t="s">
        <v>1713</v>
      </c>
      <c r="B17" s="36">
        <v>600</v>
      </c>
      <c r="C17" s="36">
        <v>600</v>
      </c>
      <c r="D17" s="37">
        <f t="shared" si="0"/>
        <v>1</v>
      </c>
      <c r="E17" s="38">
        <f>(C17-I17)/I17</f>
        <v>-0.7</v>
      </c>
      <c r="F17" s="15"/>
      <c r="H17" s="39" t="s">
        <v>1713</v>
      </c>
      <c r="I17" s="51">
        <v>2000</v>
      </c>
    </row>
    <row r="18" s="2" customFormat="1" ht="15" customHeight="1" spans="1:9">
      <c r="A18" s="40" t="s">
        <v>655</v>
      </c>
      <c r="B18" s="36">
        <v>5400</v>
      </c>
      <c r="C18" s="36"/>
      <c r="D18" s="37">
        <f t="shared" si="0"/>
        <v>0</v>
      </c>
      <c r="E18" s="38"/>
      <c r="F18" s="15"/>
      <c r="H18" s="41" t="s">
        <v>1719</v>
      </c>
      <c r="I18" s="51"/>
    </row>
    <row r="19" s="2" customFormat="1" ht="15" customHeight="1" spans="1:9">
      <c r="A19" s="35" t="s">
        <v>656</v>
      </c>
      <c r="B19" s="36">
        <v>497</v>
      </c>
      <c r="C19" s="36"/>
      <c r="D19" s="37">
        <f t="shared" si="0"/>
        <v>0</v>
      </c>
      <c r="E19" s="38"/>
      <c r="F19" s="15"/>
      <c r="H19" s="39" t="s">
        <v>656</v>
      </c>
      <c r="I19" s="51"/>
    </row>
    <row r="20" s="2" customFormat="1" ht="15" customHeight="1" spans="1:9">
      <c r="A20" s="35" t="s">
        <v>657</v>
      </c>
      <c r="B20" s="36">
        <v>135</v>
      </c>
      <c r="C20" s="36"/>
      <c r="D20" s="37">
        <f t="shared" si="0"/>
        <v>0</v>
      </c>
      <c r="E20" s="38">
        <f>(C20-I20)/I20</f>
        <v>-1</v>
      </c>
      <c r="F20" s="15"/>
      <c r="H20" s="39" t="s">
        <v>657</v>
      </c>
      <c r="I20" s="51">
        <v>17</v>
      </c>
    </row>
    <row r="21" s="2" customFormat="1" ht="15" customHeight="1" spans="1:9">
      <c r="A21" s="40" t="s">
        <v>1720</v>
      </c>
      <c r="B21" s="36">
        <v>135</v>
      </c>
      <c r="C21" s="36"/>
      <c r="D21" s="37">
        <f t="shared" si="0"/>
        <v>0</v>
      </c>
      <c r="E21" s="38"/>
      <c r="F21" s="15"/>
      <c r="H21" s="41" t="s">
        <v>1721</v>
      </c>
      <c r="I21" s="51"/>
    </row>
    <row r="22" s="2" customFormat="1" ht="15" customHeight="1" spans="1:9">
      <c r="A22" s="35" t="s">
        <v>1722</v>
      </c>
      <c r="B22" s="36"/>
      <c r="C22" s="36"/>
      <c r="D22" s="37"/>
      <c r="E22" s="38">
        <f>(C22-I22)/I22</f>
        <v>-1</v>
      </c>
      <c r="F22" s="15"/>
      <c r="H22" s="39" t="s">
        <v>1723</v>
      </c>
      <c r="I22" s="51">
        <v>17</v>
      </c>
    </row>
    <row r="23" s="2" customFormat="1" ht="15" customHeight="1" spans="1:9">
      <c r="A23" s="35" t="s">
        <v>659</v>
      </c>
      <c r="B23" s="36">
        <v>530</v>
      </c>
      <c r="C23" s="36">
        <v>252</v>
      </c>
      <c r="D23" s="37">
        <f t="shared" si="0"/>
        <v>0.475471698113208</v>
      </c>
      <c r="E23" s="38">
        <f>(C23-I23)/I23</f>
        <v>-0.189710610932476</v>
      </c>
      <c r="F23" s="15"/>
      <c r="H23" s="39" t="s">
        <v>659</v>
      </c>
      <c r="I23" s="51">
        <v>311</v>
      </c>
    </row>
    <row r="24" s="2" customFormat="1" ht="15" customHeight="1" spans="1:9">
      <c r="A24" s="35" t="s">
        <v>1724</v>
      </c>
      <c r="B24" s="36">
        <v>143</v>
      </c>
      <c r="C24" s="36">
        <v>9</v>
      </c>
      <c r="D24" s="37">
        <f t="shared" si="0"/>
        <v>0.0629370629370629</v>
      </c>
      <c r="E24" s="38">
        <f>(C24-I24)/I24</f>
        <v>-0.653846153846154</v>
      </c>
      <c r="F24" s="15"/>
      <c r="H24" s="39" t="s">
        <v>1724</v>
      </c>
      <c r="I24" s="53">
        <v>26</v>
      </c>
    </row>
    <row r="25" s="2" customFormat="1" ht="15" customHeight="1" spans="1:9">
      <c r="A25" s="35" t="s">
        <v>1725</v>
      </c>
      <c r="B25" s="36">
        <v>143</v>
      </c>
      <c r="C25" s="36">
        <v>9</v>
      </c>
      <c r="D25" s="37">
        <f t="shared" si="0"/>
        <v>0.0629370629370629</v>
      </c>
      <c r="E25" s="38">
        <f>(C25-I25)/I25</f>
        <v>-0.653846153846154</v>
      </c>
      <c r="F25" s="15"/>
      <c r="H25" s="39" t="s">
        <v>1725</v>
      </c>
      <c r="I25" s="29">
        <v>26</v>
      </c>
    </row>
    <row r="26" s="2" customFormat="1" ht="15" customHeight="1" spans="1:9">
      <c r="A26" s="35" t="s">
        <v>1726</v>
      </c>
      <c r="B26" s="36">
        <v>1069</v>
      </c>
      <c r="C26" s="36">
        <v>812</v>
      </c>
      <c r="D26" s="37">
        <f t="shared" si="0"/>
        <v>0.759588400374182</v>
      </c>
      <c r="E26" s="38"/>
      <c r="F26" s="15"/>
      <c r="H26" s="46"/>
      <c r="I26" s="29"/>
    </row>
    <row r="27" ht="15" customHeight="1" spans="1:9">
      <c r="A27" s="35" t="s">
        <v>1727</v>
      </c>
      <c r="B27" s="36">
        <v>1069</v>
      </c>
      <c r="C27" s="36">
        <v>812</v>
      </c>
      <c r="D27" s="37">
        <f t="shared" si="0"/>
        <v>0.759588400374182</v>
      </c>
      <c r="E27" s="38"/>
      <c r="F27" s="15"/>
      <c r="H27" s="39"/>
      <c r="I27" s="53"/>
    </row>
    <row r="28" ht="15" customHeight="1" spans="1:8">
      <c r="A28" s="35" t="s">
        <v>675</v>
      </c>
      <c r="B28" s="47">
        <v>1069</v>
      </c>
      <c r="C28" s="48">
        <v>812</v>
      </c>
      <c r="D28" s="37">
        <f t="shared" si="0"/>
        <v>0.759588400374182</v>
      </c>
      <c r="E28" s="38"/>
      <c r="F28" s="15"/>
      <c r="H28" s="39"/>
    </row>
    <row r="29" ht="15" customHeight="1" spans="1:9">
      <c r="A29" s="49" t="s">
        <v>99</v>
      </c>
      <c r="B29" s="47">
        <f>B26+B24+B8+B4</f>
        <v>59025</v>
      </c>
      <c r="C29" s="47">
        <f>SUM(C4+C8+C24+C26)</f>
        <v>29313</v>
      </c>
      <c r="D29" s="37">
        <f t="shared" si="0"/>
        <v>0.496620076238882</v>
      </c>
      <c r="E29" s="38">
        <f>(C29-I29)/I29</f>
        <v>1.84509366204018</v>
      </c>
      <c r="F29" s="15"/>
      <c r="H29" s="46" t="s">
        <v>99</v>
      </c>
      <c r="I29" s="29">
        <v>10303</v>
      </c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76" orientation="landscape" useFirstPageNumber="1"/>
  <headerFooter alignWithMargins="0">
    <evenFooter>&amp;C-2-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zoomScale="85" zoomScaleNormal="85" workbookViewId="0">
      <selection activeCell="A1" sqref="$A1:$XFD1048576"/>
    </sheetView>
  </sheetViews>
  <sheetFormatPr defaultColWidth="9" defaultRowHeight="14.25"/>
  <cols>
    <col min="1" max="1" width="28.5" style="17" customWidth="1"/>
    <col min="2" max="2" width="13.375" customWidth="1"/>
    <col min="3" max="3" width="10" customWidth="1"/>
    <col min="4" max="4" width="9.75" customWidth="1"/>
    <col min="5" max="5" width="9.375" customWidth="1"/>
    <col min="6" max="6" width="10.125" customWidth="1"/>
    <col min="7" max="7" width="9.5" customWidth="1"/>
    <col min="8" max="8" width="9" customWidth="1"/>
    <col min="9" max="9" width="10" customWidth="1"/>
    <col min="10" max="10" width="10.75" customWidth="1"/>
  </cols>
  <sheetData>
    <row r="1" ht="7.5" customHeight="1" spans="1:10">
      <c r="A1" s="18"/>
      <c r="B1" s="18"/>
      <c r="C1" s="19"/>
      <c r="D1" s="19"/>
      <c r="E1" s="19"/>
      <c r="F1" s="19"/>
      <c r="G1" s="19"/>
      <c r="H1" s="19"/>
      <c r="I1" s="19"/>
      <c r="J1" s="19"/>
    </row>
    <row r="2" ht="39" customHeight="1" spans="1:10">
      <c r="A2" s="4" t="s">
        <v>1728</v>
      </c>
      <c r="B2" s="4"/>
      <c r="C2" s="4"/>
      <c r="D2" s="4"/>
      <c r="E2" s="4"/>
      <c r="F2" s="4"/>
      <c r="G2" s="4"/>
      <c r="H2" s="4"/>
      <c r="I2" s="4"/>
      <c r="J2" s="4"/>
    </row>
    <row r="3" ht="24" customHeight="1" spans="1:10">
      <c r="A3" s="20" t="s">
        <v>1729</v>
      </c>
      <c r="B3" s="20"/>
      <c r="C3" s="20"/>
      <c r="D3" s="20"/>
      <c r="E3" s="21"/>
      <c r="F3" s="21"/>
      <c r="G3" s="21"/>
      <c r="H3" s="22"/>
      <c r="I3" s="22"/>
      <c r="J3" s="26" t="s">
        <v>2</v>
      </c>
    </row>
    <row r="4" s="16" customFormat="1" ht="51.95" customHeight="1" spans="1:10">
      <c r="A4" s="8" t="s">
        <v>679</v>
      </c>
      <c r="B4" s="8"/>
      <c r="C4" s="14" t="s">
        <v>1730</v>
      </c>
      <c r="D4" s="14" t="s">
        <v>1269</v>
      </c>
      <c r="E4" s="14" t="s">
        <v>1270</v>
      </c>
      <c r="F4" s="14" t="s">
        <v>1731</v>
      </c>
      <c r="G4" s="14" t="s">
        <v>1285</v>
      </c>
      <c r="H4" s="14" t="s">
        <v>1270</v>
      </c>
      <c r="I4" s="14" t="s">
        <v>1732</v>
      </c>
      <c r="J4" s="8" t="s">
        <v>683</v>
      </c>
    </row>
    <row r="5" ht="31.5" customHeight="1" spans="1:10">
      <c r="A5" s="23" t="s">
        <v>687</v>
      </c>
      <c r="B5" s="23" t="s">
        <v>688</v>
      </c>
      <c r="C5" s="24">
        <v>23892</v>
      </c>
      <c r="D5" s="24">
        <v>8150</v>
      </c>
      <c r="E5" s="25">
        <f>D5/C5</f>
        <v>0.341118365980244</v>
      </c>
      <c r="F5" s="24">
        <v>36140</v>
      </c>
      <c r="G5" s="24">
        <v>14453</v>
      </c>
      <c r="H5" s="25">
        <f>G5/F5</f>
        <v>0.399916989485335</v>
      </c>
      <c r="I5" s="24">
        <f>D5-G5</f>
        <v>-6303</v>
      </c>
      <c r="J5" s="15"/>
    </row>
    <row r="6" ht="31.5" customHeight="1" spans="1:10">
      <c r="A6" s="23"/>
      <c r="B6" s="23" t="s">
        <v>689</v>
      </c>
      <c r="C6" s="24"/>
      <c r="D6" s="24"/>
      <c r="E6" s="25"/>
      <c r="F6" s="24"/>
      <c r="G6" s="24"/>
      <c r="H6" s="25"/>
      <c r="I6" s="24"/>
      <c r="J6" s="15"/>
    </row>
    <row r="7" ht="31.5" customHeight="1" spans="1:10">
      <c r="A7" s="23" t="s">
        <v>690</v>
      </c>
      <c r="B7" s="23"/>
      <c r="C7" s="24">
        <v>33312</v>
      </c>
      <c r="D7" s="24">
        <v>16651</v>
      </c>
      <c r="E7" s="25">
        <f>D7/C7</f>
        <v>0.499849903938521</v>
      </c>
      <c r="F7" s="24">
        <v>25913</v>
      </c>
      <c r="G7" s="24">
        <v>13605</v>
      </c>
      <c r="H7" s="25">
        <f>G7/F7</f>
        <v>0.525026048701424</v>
      </c>
      <c r="I7" s="24">
        <f>D7-G7</f>
        <v>3046</v>
      </c>
      <c r="J7" s="15"/>
    </row>
    <row r="8" ht="31.5" customHeight="1" spans="1:10">
      <c r="A8" s="23" t="s">
        <v>691</v>
      </c>
      <c r="B8" s="23"/>
      <c r="C8" s="24">
        <v>10053</v>
      </c>
      <c r="D8" s="24">
        <v>9267</v>
      </c>
      <c r="E8" s="25">
        <f>D8/C8</f>
        <v>0.92181438376604</v>
      </c>
      <c r="F8" s="24">
        <v>6976</v>
      </c>
      <c r="G8" s="24">
        <v>3403</v>
      </c>
      <c r="H8" s="25">
        <f>G8/F8</f>
        <v>0.487815366972477</v>
      </c>
      <c r="I8" s="24">
        <f>D8-G8</f>
        <v>5864</v>
      </c>
      <c r="J8" s="15"/>
    </row>
    <row r="9" ht="31.5" customHeight="1" spans="1:10">
      <c r="A9" s="23" t="s">
        <v>692</v>
      </c>
      <c r="B9" s="23"/>
      <c r="C9" s="24"/>
      <c r="D9" s="24"/>
      <c r="E9" s="25"/>
      <c r="F9" s="24"/>
      <c r="G9" s="24"/>
      <c r="H9" s="25"/>
      <c r="I9" s="24"/>
      <c r="J9" s="15"/>
    </row>
    <row r="10" ht="31.5" customHeight="1" spans="1:10">
      <c r="A10" s="23" t="s">
        <v>1733</v>
      </c>
      <c r="B10" s="23"/>
      <c r="C10" s="24"/>
      <c r="D10" s="24"/>
      <c r="E10" s="25"/>
      <c r="F10" s="24"/>
      <c r="G10" s="24"/>
      <c r="H10" s="25"/>
      <c r="I10" s="24"/>
      <c r="J10" s="15"/>
    </row>
    <row r="11" ht="31.5" customHeight="1" spans="1:10">
      <c r="A11" s="23" t="s">
        <v>1734</v>
      </c>
      <c r="B11" s="23"/>
      <c r="C11" s="24"/>
      <c r="D11" s="24"/>
      <c r="E11" s="25"/>
      <c r="F11" s="24"/>
      <c r="G11" s="24"/>
      <c r="H11" s="25"/>
      <c r="I11" s="24"/>
      <c r="J11" s="15"/>
    </row>
    <row r="12" ht="31.5" customHeight="1" spans="1:10">
      <c r="A12" s="23" t="s">
        <v>1735</v>
      </c>
      <c r="B12" s="23"/>
      <c r="C12" s="24"/>
      <c r="D12" s="24"/>
      <c r="E12" s="25"/>
      <c r="F12" s="24"/>
      <c r="G12" s="24"/>
      <c r="H12" s="25"/>
      <c r="I12" s="24"/>
      <c r="J12" s="15"/>
    </row>
    <row r="13" ht="31.5" customHeight="1" spans="1:10">
      <c r="A13" s="23" t="s">
        <v>1736</v>
      </c>
      <c r="B13" s="23"/>
      <c r="C13" s="24"/>
      <c r="D13" s="24"/>
      <c r="E13" s="25"/>
      <c r="F13" s="24"/>
      <c r="G13" s="24"/>
      <c r="H13" s="25"/>
      <c r="I13" s="24"/>
      <c r="J13" s="15"/>
    </row>
    <row r="14" ht="31.5" customHeight="1" spans="1:10">
      <c r="A14" s="8" t="s">
        <v>698</v>
      </c>
      <c r="B14" s="8"/>
      <c r="C14" s="24">
        <f t="shared" ref="C14:G14" si="0">SUM(C5:C13)</f>
        <v>67257</v>
      </c>
      <c r="D14" s="24">
        <f t="shared" si="0"/>
        <v>34068</v>
      </c>
      <c r="E14" s="25">
        <f>D14/C14</f>
        <v>0.506534635799991</v>
      </c>
      <c r="F14" s="24">
        <f t="shared" si="0"/>
        <v>69029</v>
      </c>
      <c r="G14" s="24">
        <f t="shared" si="0"/>
        <v>31461</v>
      </c>
      <c r="H14" s="25">
        <f>G14/F14</f>
        <v>0.455764968346637</v>
      </c>
      <c r="I14" s="24">
        <f>D14-G14</f>
        <v>2607</v>
      </c>
      <c r="J14" s="15"/>
    </row>
  </sheetData>
  <mergeCells count="11">
    <mergeCell ref="A2:J2"/>
    <mergeCell ref="A4:B4"/>
    <mergeCell ref="A7:B7"/>
    <mergeCell ref="A8:B8"/>
    <mergeCell ref="A9:B9"/>
    <mergeCell ref="A10:B10"/>
    <mergeCell ref="A11:B11"/>
    <mergeCell ref="A12:B12"/>
    <mergeCell ref="A13:B13"/>
    <mergeCell ref="A14:B14"/>
    <mergeCell ref="A5:A6"/>
  </mergeCells>
  <printOptions horizontalCentered="1"/>
  <pageMargins left="0.786805555555556" right="0.786805555555556" top="0.786805555555556" bottom="0.707638888888889" header="0" footer="0"/>
  <pageSetup paperSize="9" firstPageNumber="77" orientation="landscape" useFirstPageNumber="1"/>
  <headerFooter alignWithMargins="0">
    <evenFooter>&amp;C-2-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$A1:$XFD1048576"/>
    </sheetView>
  </sheetViews>
  <sheetFormatPr defaultColWidth="9" defaultRowHeight="14.25" outlineLevelCol="7"/>
  <cols>
    <col min="1" max="1" width="29.25" customWidth="1"/>
    <col min="2" max="3" width="8.125" customWidth="1"/>
    <col min="4" max="4" width="10.625" customWidth="1"/>
    <col min="5" max="5" width="36.25" customWidth="1"/>
    <col min="6" max="6" width="10" customWidth="1"/>
    <col min="7" max="8" width="9.25" customWidth="1"/>
  </cols>
  <sheetData>
    <row r="1" ht="36.75" customHeight="1" spans="1:8">
      <c r="A1" s="4" t="s">
        <v>1737</v>
      </c>
      <c r="B1" s="4"/>
      <c r="C1" s="4"/>
      <c r="D1" s="4"/>
      <c r="E1" s="4"/>
      <c r="F1" s="4"/>
      <c r="G1" s="4"/>
      <c r="H1" s="4"/>
    </row>
    <row r="2" ht="25.5" customHeight="1" spans="1:8">
      <c r="A2" s="6" t="s">
        <v>1738</v>
      </c>
      <c r="B2" s="6"/>
      <c r="C2" s="6"/>
      <c r="D2" s="6"/>
      <c r="E2" s="6"/>
      <c r="F2" s="6"/>
      <c r="G2" s="13" t="s">
        <v>2</v>
      </c>
      <c r="H2" s="13"/>
    </row>
    <row r="3" s="12" customFormat="1" ht="47.25" customHeight="1" spans="1:8">
      <c r="A3" s="14" t="s">
        <v>1702</v>
      </c>
      <c r="B3" s="14" t="s">
        <v>5</v>
      </c>
      <c r="C3" s="14" t="s">
        <v>1268</v>
      </c>
      <c r="D3" s="14" t="s">
        <v>1739</v>
      </c>
      <c r="E3" s="14" t="s">
        <v>1707</v>
      </c>
      <c r="F3" s="14" t="s">
        <v>1740</v>
      </c>
      <c r="G3" s="14" t="s">
        <v>1268</v>
      </c>
      <c r="H3" s="14" t="s">
        <v>1739</v>
      </c>
    </row>
    <row r="4" ht="47.25" customHeight="1" spans="1:8">
      <c r="A4" s="15" t="s">
        <v>706</v>
      </c>
      <c r="B4" s="15"/>
      <c r="C4" s="15"/>
      <c r="D4" s="15"/>
      <c r="E4" s="15" t="s">
        <v>1741</v>
      </c>
      <c r="F4" s="15"/>
      <c r="G4" s="15"/>
      <c r="H4" s="15"/>
    </row>
    <row r="5" ht="47.25" customHeight="1" spans="1:8">
      <c r="A5" s="15" t="s">
        <v>707</v>
      </c>
      <c r="B5" s="15"/>
      <c r="C5" s="15"/>
      <c r="D5" s="15"/>
      <c r="E5" s="15" t="s">
        <v>1742</v>
      </c>
      <c r="F5" s="15"/>
      <c r="G5" s="15"/>
      <c r="H5" s="15"/>
    </row>
    <row r="6" ht="47.25" customHeight="1" spans="1:8">
      <c r="A6" s="15" t="s">
        <v>708</v>
      </c>
      <c r="B6" s="15"/>
      <c r="C6" s="15"/>
      <c r="D6" s="15"/>
      <c r="E6" s="15" t="s">
        <v>1743</v>
      </c>
      <c r="F6" s="15"/>
      <c r="G6" s="15"/>
      <c r="H6" s="15"/>
    </row>
    <row r="7" ht="47.25" customHeight="1" spans="1:8">
      <c r="A7" s="15" t="s">
        <v>709</v>
      </c>
      <c r="B7" s="15"/>
      <c r="C7" s="15"/>
      <c r="D7" s="15"/>
      <c r="E7" s="15" t="s">
        <v>1744</v>
      </c>
      <c r="F7" s="15"/>
      <c r="G7" s="15"/>
      <c r="H7" s="15"/>
    </row>
    <row r="8" ht="47.25" customHeight="1" spans="1:8">
      <c r="A8" s="15" t="s">
        <v>710</v>
      </c>
      <c r="B8" s="15"/>
      <c r="C8" s="15"/>
      <c r="D8" s="15"/>
      <c r="E8" s="15" t="s">
        <v>1745</v>
      </c>
      <c r="F8" s="15"/>
      <c r="G8" s="15"/>
      <c r="H8" s="15"/>
    </row>
    <row r="9" ht="47.25" customHeight="1" spans="1:8">
      <c r="A9" s="8" t="s">
        <v>1746</v>
      </c>
      <c r="B9" s="15"/>
      <c r="C9" s="15"/>
      <c r="D9" s="15"/>
      <c r="E9" s="8" t="s">
        <v>1747</v>
      </c>
      <c r="F9" s="15"/>
      <c r="G9" s="15"/>
      <c r="H9" s="15"/>
    </row>
    <row r="10" ht="22.5" customHeight="1"/>
    <row r="11" ht="22.5" customHeight="1"/>
    <row r="12" ht="22.5" customHeight="1"/>
  </sheetData>
  <mergeCells count="2">
    <mergeCell ref="A1:H1"/>
    <mergeCell ref="G2:H2"/>
  </mergeCells>
  <printOptions horizontalCentered="1"/>
  <pageMargins left="0.786805555555556" right="0.786805555555556" top="0.786805555555556" bottom="0.707638888888889" header="0" footer="0"/>
  <pageSetup paperSize="9" firstPageNumber="78" orientation="landscape" useFirstPageNumber="1"/>
  <headerFooter alignWithMargins="0">
    <evenFooter>&amp;C-2-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1" sqref="$A1:$XFD1048576"/>
    </sheetView>
  </sheetViews>
  <sheetFormatPr defaultColWidth="9" defaultRowHeight="39" customHeight="1" outlineLevelRow="4" outlineLevelCol="2"/>
  <cols>
    <col min="1" max="1" width="55.75" style="2" customWidth="1"/>
    <col min="2" max="2" width="31.375" style="2" customWidth="1"/>
    <col min="3" max="3" width="29.5" style="3" customWidth="1"/>
    <col min="4" max="16380" width="9" style="2"/>
  </cols>
  <sheetData>
    <row r="1" customHeight="1" spans="1:3">
      <c r="A1" s="4" t="s">
        <v>1748</v>
      </c>
      <c r="B1" s="4"/>
      <c r="C1" s="5"/>
    </row>
    <row r="2" customHeight="1" spans="1:3">
      <c r="A2" s="6" t="s">
        <v>1749</v>
      </c>
      <c r="B2" s="6"/>
      <c r="C2" s="7" t="s">
        <v>2</v>
      </c>
    </row>
    <row r="3" s="1" customFormat="1" ht="95.25" customHeight="1" spans="1:3">
      <c r="A3" s="8" t="s">
        <v>701</v>
      </c>
      <c r="B3" s="8" t="s">
        <v>1750</v>
      </c>
      <c r="C3" s="9" t="s">
        <v>1288</v>
      </c>
    </row>
    <row r="4" s="1" customFormat="1" ht="95.25" customHeight="1" spans="1:3">
      <c r="A4" s="10" t="s">
        <v>1751</v>
      </c>
      <c r="B4" s="8">
        <v>371700</v>
      </c>
      <c r="C4" s="11"/>
    </row>
    <row r="5" ht="95.25" customHeight="1" spans="1:3">
      <c r="A5" s="10" t="s">
        <v>1752</v>
      </c>
      <c r="B5" s="8">
        <v>337933</v>
      </c>
      <c r="C5" s="11"/>
    </row>
  </sheetData>
  <mergeCells count="1">
    <mergeCell ref="A1:C1"/>
  </mergeCells>
  <printOptions horizontalCentered="1"/>
  <pageMargins left="0.786805555555556" right="0.786805555555556" top="0.786805555555556" bottom="0.707638888888889" header="0" footer="0"/>
  <pageSetup paperSize="9" firstPageNumber="79" orientation="landscape" useFirstPageNumber="1"/>
  <headerFooter alignWithMargins="0">
    <evenFooter>&amp;C-2-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A1" sqref="$A1:$XFD1048576"/>
    </sheetView>
  </sheetViews>
  <sheetFormatPr defaultColWidth="9" defaultRowHeight="39" customHeight="1" outlineLevelRow="4" outlineLevelCol="2"/>
  <cols>
    <col min="1" max="1" width="55.75" style="2" customWidth="1"/>
    <col min="2" max="2" width="31.375" style="2" customWidth="1"/>
    <col min="3" max="3" width="29.5" style="3" customWidth="1"/>
    <col min="4" max="16380" width="9" style="2"/>
  </cols>
  <sheetData>
    <row r="1" customHeight="1" spans="1:3">
      <c r="A1" s="4" t="s">
        <v>1753</v>
      </c>
      <c r="B1" s="4"/>
      <c r="C1" s="5"/>
    </row>
    <row r="2" customHeight="1" spans="1:3">
      <c r="A2" s="6" t="s">
        <v>1754</v>
      </c>
      <c r="B2" s="6"/>
      <c r="C2" s="7" t="s">
        <v>2</v>
      </c>
    </row>
    <row r="3" s="1" customFormat="1" ht="87" customHeight="1" spans="1:3">
      <c r="A3" s="8" t="s">
        <v>701</v>
      </c>
      <c r="B3" s="8" t="s">
        <v>1750</v>
      </c>
      <c r="C3" s="9" t="s">
        <v>1288</v>
      </c>
    </row>
    <row r="4" s="1" customFormat="1" ht="87" customHeight="1" spans="1:3">
      <c r="A4" s="10" t="s">
        <v>1755</v>
      </c>
      <c r="B4" s="8">
        <v>30300</v>
      </c>
      <c r="C4" s="11"/>
    </row>
    <row r="5" ht="87" customHeight="1" spans="1:3">
      <c r="A5" s="10" t="s">
        <v>1756</v>
      </c>
      <c r="B5" s="8">
        <v>29800</v>
      </c>
      <c r="C5" s="11"/>
    </row>
  </sheetData>
  <mergeCells count="1">
    <mergeCell ref="A1:C1"/>
  </mergeCells>
  <printOptions horizontalCentered="1"/>
  <pageMargins left="0.786805555555556" right="0.786805555555556" top="0.786805555555556" bottom="0.707638888888889" header="0" footer="0"/>
  <pageSetup paperSize="9" firstPageNumber="79" orientation="landscape" useFirstPageNumber="1"/>
  <headerFooter alignWithMargins="0">
    <evenFooter>&amp;C-2-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showZeros="0" view="pageBreakPreview" zoomScaleNormal="85" workbookViewId="0">
      <pane xSplit="1" ySplit="1" topLeftCell="B2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 outlineLevelCol="5"/>
  <cols>
    <col min="1" max="1" width="46.75" style="222" customWidth="1"/>
    <col min="2" max="2" width="16.625" style="222" customWidth="1"/>
    <col min="3" max="3" width="12.625" style="222" customWidth="1"/>
    <col min="4" max="4" width="14.625" style="222" customWidth="1"/>
    <col min="5" max="5" width="16.625" style="222" customWidth="1"/>
    <col min="6" max="6" width="11.5" style="222" customWidth="1"/>
    <col min="7" max="7" width="9.125" style="222" hidden="1" customWidth="1"/>
    <col min="8" max="256" width="9" style="222"/>
    <col min="257" max="257" width="46.75" style="222" customWidth="1"/>
    <col min="258" max="258" width="16.625" style="222" customWidth="1"/>
    <col min="259" max="259" width="12.625" style="222" customWidth="1"/>
    <col min="260" max="260" width="14.625" style="222" customWidth="1"/>
    <col min="261" max="261" width="16.625" style="222" customWidth="1"/>
    <col min="262" max="262" width="11.5" style="222" customWidth="1"/>
    <col min="263" max="263" width="9" style="222" hidden="1" customWidth="1"/>
    <col min="264" max="512" width="9" style="222"/>
    <col min="513" max="513" width="46.75" style="222" customWidth="1"/>
    <col min="514" max="514" width="16.625" style="222" customWidth="1"/>
    <col min="515" max="515" width="12.625" style="222" customWidth="1"/>
    <col min="516" max="516" width="14.625" style="222" customWidth="1"/>
    <col min="517" max="517" width="16.625" style="222" customWidth="1"/>
    <col min="518" max="518" width="11.5" style="222" customWidth="1"/>
    <col min="519" max="519" width="9" style="222" hidden="1" customWidth="1"/>
    <col min="520" max="768" width="9" style="222"/>
    <col min="769" max="769" width="46.75" style="222" customWidth="1"/>
    <col min="770" max="770" width="16.625" style="222" customWidth="1"/>
    <col min="771" max="771" width="12.625" style="222" customWidth="1"/>
    <col min="772" max="772" width="14.625" style="222" customWidth="1"/>
    <col min="773" max="773" width="16.625" style="222" customWidth="1"/>
    <col min="774" max="774" width="11.5" style="222" customWidth="1"/>
    <col min="775" max="775" width="9" style="222" hidden="1" customWidth="1"/>
    <col min="776" max="1024" width="9" style="222"/>
    <col min="1025" max="1025" width="46.75" style="222" customWidth="1"/>
    <col min="1026" max="1026" width="16.625" style="222" customWidth="1"/>
    <col min="1027" max="1027" width="12.625" style="222" customWidth="1"/>
    <col min="1028" max="1028" width="14.625" style="222" customWidth="1"/>
    <col min="1029" max="1029" width="16.625" style="222" customWidth="1"/>
    <col min="1030" max="1030" width="11.5" style="222" customWidth="1"/>
    <col min="1031" max="1031" width="9" style="222" hidden="1" customWidth="1"/>
    <col min="1032" max="1280" width="9" style="222"/>
    <col min="1281" max="1281" width="46.75" style="222" customWidth="1"/>
    <col min="1282" max="1282" width="16.625" style="222" customWidth="1"/>
    <col min="1283" max="1283" width="12.625" style="222" customWidth="1"/>
    <col min="1284" max="1284" width="14.625" style="222" customWidth="1"/>
    <col min="1285" max="1285" width="16.625" style="222" customWidth="1"/>
    <col min="1286" max="1286" width="11.5" style="222" customWidth="1"/>
    <col min="1287" max="1287" width="9" style="222" hidden="1" customWidth="1"/>
    <col min="1288" max="1536" width="9" style="222"/>
    <col min="1537" max="1537" width="46.75" style="222" customWidth="1"/>
    <col min="1538" max="1538" width="16.625" style="222" customWidth="1"/>
    <col min="1539" max="1539" width="12.625" style="222" customWidth="1"/>
    <col min="1540" max="1540" width="14.625" style="222" customWidth="1"/>
    <col min="1541" max="1541" width="16.625" style="222" customWidth="1"/>
    <col min="1542" max="1542" width="11.5" style="222" customWidth="1"/>
    <col min="1543" max="1543" width="9" style="222" hidden="1" customWidth="1"/>
    <col min="1544" max="1792" width="9" style="222"/>
    <col min="1793" max="1793" width="46.75" style="222" customWidth="1"/>
    <col min="1794" max="1794" width="16.625" style="222" customWidth="1"/>
    <col min="1795" max="1795" width="12.625" style="222" customWidth="1"/>
    <col min="1796" max="1796" width="14.625" style="222" customWidth="1"/>
    <col min="1797" max="1797" width="16.625" style="222" customWidth="1"/>
    <col min="1798" max="1798" width="11.5" style="222" customWidth="1"/>
    <col min="1799" max="1799" width="9" style="222" hidden="1" customWidth="1"/>
    <col min="1800" max="2048" width="9" style="222"/>
    <col min="2049" max="2049" width="46.75" style="222" customWidth="1"/>
    <col min="2050" max="2050" width="16.625" style="222" customWidth="1"/>
    <col min="2051" max="2051" width="12.625" style="222" customWidth="1"/>
    <col min="2052" max="2052" width="14.625" style="222" customWidth="1"/>
    <col min="2053" max="2053" width="16.625" style="222" customWidth="1"/>
    <col min="2054" max="2054" width="11.5" style="222" customWidth="1"/>
    <col min="2055" max="2055" width="9" style="222" hidden="1" customWidth="1"/>
    <col min="2056" max="2304" width="9" style="222"/>
    <col min="2305" max="2305" width="46.75" style="222" customWidth="1"/>
    <col min="2306" max="2306" width="16.625" style="222" customWidth="1"/>
    <col min="2307" max="2307" width="12.625" style="222" customWidth="1"/>
    <col min="2308" max="2308" width="14.625" style="222" customWidth="1"/>
    <col min="2309" max="2309" width="16.625" style="222" customWidth="1"/>
    <col min="2310" max="2310" width="11.5" style="222" customWidth="1"/>
    <col min="2311" max="2311" width="9" style="222" hidden="1" customWidth="1"/>
    <col min="2312" max="2560" width="9" style="222"/>
    <col min="2561" max="2561" width="46.75" style="222" customWidth="1"/>
    <col min="2562" max="2562" width="16.625" style="222" customWidth="1"/>
    <col min="2563" max="2563" width="12.625" style="222" customWidth="1"/>
    <col min="2564" max="2564" width="14.625" style="222" customWidth="1"/>
    <col min="2565" max="2565" width="16.625" style="222" customWidth="1"/>
    <col min="2566" max="2566" width="11.5" style="222" customWidth="1"/>
    <col min="2567" max="2567" width="9" style="222" hidden="1" customWidth="1"/>
    <col min="2568" max="2816" width="9" style="222"/>
    <col min="2817" max="2817" width="46.75" style="222" customWidth="1"/>
    <col min="2818" max="2818" width="16.625" style="222" customWidth="1"/>
    <col min="2819" max="2819" width="12.625" style="222" customWidth="1"/>
    <col min="2820" max="2820" width="14.625" style="222" customWidth="1"/>
    <col min="2821" max="2821" width="16.625" style="222" customWidth="1"/>
    <col min="2822" max="2822" width="11.5" style="222" customWidth="1"/>
    <col min="2823" max="2823" width="9" style="222" hidden="1" customWidth="1"/>
    <col min="2824" max="3072" width="9" style="222"/>
    <col min="3073" max="3073" width="46.75" style="222" customWidth="1"/>
    <col min="3074" max="3074" width="16.625" style="222" customWidth="1"/>
    <col min="3075" max="3075" width="12.625" style="222" customWidth="1"/>
    <col min="3076" max="3076" width="14.625" style="222" customWidth="1"/>
    <col min="3077" max="3077" width="16.625" style="222" customWidth="1"/>
    <col min="3078" max="3078" width="11.5" style="222" customWidth="1"/>
    <col min="3079" max="3079" width="9" style="222" hidden="1" customWidth="1"/>
    <col min="3080" max="3328" width="9" style="222"/>
    <col min="3329" max="3329" width="46.75" style="222" customWidth="1"/>
    <col min="3330" max="3330" width="16.625" style="222" customWidth="1"/>
    <col min="3331" max="3331" width="12.625" style="222" customWidth="1"/>
    <col min="3332" max="3332" width="14.625" style="222" customWidth="1"/>
    <col min="3333" max="3333" width="16.625" style="222" customWidth="1"/>
    <col min="3334" max="3334" width="11.5" style="222" customWidth="1"/>
    <col min="3335" max="3335" width="9" style="222" hidden="1" customWidth="1"/>
    <col min="3336" max="3584" width="9" style="222"/>
    <col min="3585" max="3585" width="46.75" style="222" customWidth="1"/>
    <col min="3586" max="3586" width="16.625" style="222" customWidth="1"/>
    <col min="3587" max="3587" width="12.625" style="222" customWidth="1"/>
    <col min="3588" max="3588" width="14.625" style="222" customWidth="1"/>
    <col min="3589" max="3589" width="16.625" style="222" customWidth="1"/>
    <col min="3590" max="3590" width="11.5" style="222" customWidth="1"/>
    <col min="3591" max="3591" width="9" style="222" hidden="1" customWidth="1"/>
    <col min="3592" max="3840" width="9" style="222"/>
    <col min="3841" max="3841" width="46.75" style="222" customWidth="1"/>
    <col min="3842" max="3842" width="16.625" style="222" customWidth="1"/>
    <col min="3843" max="3843" width="12.625" style="222" customWidth="1"/>
    <col min="3844" max="3844" width="14.625" style="222" customWidth="1"/>
    <col min="3845" max="3845" width="16.625" style="222" customWidth="1"/>
    <col min="3846" max="3846" width="11.5" style="222" customWidth="1"/>
    <col min="3847" max="3847" width="9" style="222" hidden="1" customWidth="1"/>
    <col min="3848" max="4096" width="9" style="222"/>
    <col min="4097" max="4097" width="46.75" style="222" customWidth="1"/>
    <col min="4098" max="4098" width="16.625" style="222" customWidth="1"/>
    <col min="4099" max="4099" width="12.625" style="222" customWidth="1"/>
    <col min="4100" max="4100" width="14.625" style="222" customWidth="1"/>
    <col min="4101" max="4101" width="16.625" style="222" customWidth="1"/>
    <col min="4102" max="4102" width="11.5" style="222" customWidth="1"/>
    <col min="4103" max="4103" width="9" style="222" hidden="1" customWidth="1"/>
    <col min="4104" max="4352" width="9" style="222"/>
    <col min="4353" max="4353" width="46.75" style="222" customWidth="1"/>
    <col min="4354" max="4354" width="16.625" style="222" customWidth="1"/>
    <col min="4355" max="4355" width="12.625" style="222" customWidth="1"/>
    <col min="4356" max="4356" width="14.625" style="222" customWidth="1"/>
    <col min="4357" max="4357" width="16.625" style="222" customWidth="1"/>
    <col min="4358" max="4358" width="11.5" style="222" customWidth="1"/>
    <col min="4359" max="4359" width="9" style="222" hidden="1" customWidth="1"/>
    <col min="4360" max="4608" width="9" style="222"/>
    <col min="4609" max="4609" width="46.75" style="222" customWidth="1"/>
    <col min="4610" max="4610" width="16.625" style="222" customWidth="1"/>
    <col min="4611" max="4611" width="12.625" style="222" customWidth="1"/>
    <col min="4612" max="4612" width="14.625" style="222" customWidth="1"/>
    <col min="4613" max="4613" width="16.625" style="222" customWidth="1"/>
    <col min="4614" max="4614" width="11.5" style="222" customWidth="1"/>
    <col min="4615" max="4615" width="9" style="222" hidden="1" customWidth="1"/>
    <col min="4616" max="4864" width="9" style="222"/>
    <col min="4865" max="4865" width="46.75" style="222" customWidth="1"/>
    <col min="4866" max="4866" width="16.625" style="222" customWidth="1"/>
    <col min="4867" max="4867" width="12.625" style="222" customWidth="1"/>
    <col min="4868" max="4868" width="14.625" style="222" customWidth="1"/>
    <col min="4869" max="4869" width="16.625" style="222" customWidth="1"/>
    <col min="4870" max="4870" width="11.5" style="222" customWidth="1"/>
    <col min="4871" max="4871" width="9" style="222" hidden="1" customWidth="1"/>
    <col min="4872" max="5120" width="9" style="222"/>
    <col min="5121" max="5121" width="46.75" style="222" customWidth="1"/>
    <col min="5122" max="5122" width="16.625" style="222" customWidth="1"/>
    <col min="5123" max="5123" width="12.625" style="222" customWidth="1"/>
    <col min="5124" max="5124" width="14.625" style="222" customWidth="1"/>
    <col min="5125" max="5125" width="16.625" style="222" customWidth="1"/>
    <col min="5126" max="5126" width="11.5" style="222" customWidth="1"/>
    <col min="5127" max="5127" width="9" style="222" hidden="1" customWidth="1"/>
    <col min="5128" max="5376" width="9" style="222"/>
    <col min="5377" max="5377" width="46.75" style="222" customWidth="1"/>
    <col min="5378" max="5378" width="16.625" style="222" customWidth="1"/>
    <col min="5379" max="5379" width="12.625" style="222" customWidth="1"/>
    <col min="5380" max="5380" width="14.625" style="222" customWidth="1"/>
    <col min="5381" max="5381" width="16.625" style="222" customWidth="1"/>
    <col min="5382" max="5382" width="11.5" style="222" customWidth="1"/>
    <col min="5383" max="5383" width="9" style="222" hidden="1" customWidth="1"/>
    <col min="5384" max="5632" width="9" style="222"/>
    <col min="5633" max="5633" width="46.75" style="222" customWidth="1"/>
    <col min="5634" max="5634" width="16.625" style="222" customWidth="1"/>
    <col min="5635" max="5635" width="12.625" style="222" customWidth="1"/>
    <col min="5636" max="5636" width="14.625" style="222" customWidth="1"/>
    <col min="5637" max="5637" width="16.625" style="222" customWidth="1"/>
    <col min="5638" max="5638" width="11.5" style="222" customWidth="1"/>
    <col min="5639" max="5639" width="9" style="222" hidden="1" customWidth="1"/>
    <col min="5640" max="5888" width="9" style="222"/>
    <col min="5889" max="5889" width="46.75" style="222" customWidth="1"/>
    <col min="5890" max="5890" width="16.625" style="222" customWidth="1"/>
    <col min="5891" max="5891" width="12.625" style="222" customWidth="1"/>
    <col min="5892" max="5892" width="14.625" style="222" customWidth="1"/>
    <col min="5893" max="5893" width="16.625" style="222" customWidth="1"/>
    <col min="5894" max="5894" width="11.5" style="222" customWidth="1"/>
    <col min="5895" max="5895" width="9" style="222" hidden="1" customWidth="1"/>
    <col min="5896" max="6144" width="9" style="222"/>
    <col min="6145" max="6145" width="46.75" style="222" customWidth="1"/>
    <col min="6146" max="6146" width="16.625" style="222" customWidth="1"/>
    <col min="6147" max="6147" width="12.625" style="222" customWidth="1"/>
    <col min="6148" max="6148" width="14.625" style="222" customWidth="1"/>
    <col min="6149" max="6149" width="16.625" style="222" customWidth="1"/>
    <col min="6150" max="6150" width="11.5" style="222" customWidth="1"/>
    <col min="6151" max="6151" width="9" style="222" hidden="1" customWidth="1"/>
    <col min="6152" max="6400" width="9" style="222"/>
    <col min="6401" max="6401" width="46.75" style="222" customWidth="1"/>
    <col min="6402" max="6402" width="16.625" style="222" customWidth="1"/>
    <col min="6403" max="6403" width="12.625" style="222" customWidth="1"/>
    <col min="6404" max="6404" width="14.625" style="222" customWidth="1"/>
    <col min="6405" max="6405" width="16.625" style="222" customWidth="1"/>
    <col min="6406" max="6406" width="11.5" style="222" customWidth="1"/>
    <col min="6407" max="6407" width="9" style="222" hidden="1" customWidth="1"/>
    <col min="6408" max="6656" width="9" style="222"/>
    <col min="6657" max="6657" width="46.75" style="222" customWidth="1"/>
    <col min="6658" max="6658" width="16.625" style="222" customWidth="1"/>
    <col min="6659" max="6659" width="12.625" style="222" customWidth="1"/>
    <col min="6660" max="6660" width="14.625" style="222" customWidth="1"/>
    <col min="6661" max="6661" width="16.625" style="222" customWidth="1"/>
    <col min="6662" max="6662" width="11.5" style="222" customWidth="1"/>
    <col min="6663" max="6663" width="9" style="222" hidden="1" customWidth="1"/>
    <col min="6664" max="6912" width="9" style="222"/>
    <col min="6913" max="6913" width="46.75" style="222" customWidth="1"/>
    <col min="6914" max="6914" width="16.625" style="222" customWidth="1"/>
    <col min="6915" max="6915" width="12.625" style="222" customWidth="1"/>
    <col min="6916" max="6916" width="14.625" style="222" customWidth="1"/>
    <col min="6917" max="6917" width="16.625" style="222" customWidth="1"/>
    <col min="6918" max="6918" width="11.5" style="222" customWidth="1"/>
    <col min="6919" max="6919" width="9" style="222" hidden="1" customWidth="1"/>
    <col min="6920" max="7168" width="9" style="222"/>
    <col min="7169" max="7169" width="46.75" style="222" customWidth="1"/>
    <col min="7170" max="7170" width="16.625" style="222" customWidth="1"/>
    <col min="7171" max="7171" width="12.625" style="222" customWidth="1"/>
    <col min="7172" max="7172" width="14.625" style="222" customWidth="1"/>
    <col min="7173" max="7173" width="16.625" style="222" customWidth="1"/>
    <col min="7174" max="7174" width="11.5" style="222" customWidth="1"/>
    <col min="7175" max="7175" width="9" style="222" hidden="1" customWidth="1"/>
    <col min="7176" max="7424" width="9" style="222"/>
    <col min="7425" max="7425" width="46.75" style="222" customWidth="1"/>
    <col min="7426" max="7426" width="16.625" style="222" customWidth="1"/>
    <col min="7427" max="7427" width="12.625" style="222" customWidth="1"/>
    <col min="7428" max="7428" width="14.625" style="222" customWidth="1"/>
    <col min="7429" max="7429" width="16.625" style="222" customWidth="1"/>
    <col min="7430" max="7430" width="11.5" style="222" customWidth="1"/>
    <col min="7431" max="7431" width="9" style="222" hidden="1" customWidth="1"/>
    <col min="7432" max="7680" width="9" style="222"/>
    <col min="7681" max="7681" width="46.75" style="222" customWidth="1"/>
    <col min="7682" max="7682" width="16.625" style="222" customWidth="1"/>
    <col min="7683" max="7683" width="12.625" style="222" customWidth="1"/>
    <col min="7684" max="7684" width="14.625" style="222" customWidth="1"/>
    <col min="7685" max="7685" width="16.625" style="222" customWidth="1"/>
    <col min="7686" max="7686" width="11.5" style="222" customWidth="1"/>
    <col min="7687" max="7687" width="9" style="222" hidden="1" customWidth="1"/>
    <col min="7688" max="7936" width="9" style="222"/>
    <col min="7937" max="7937" width="46.75" style="222" customWidth="1"/>
    <col min="7938" max="7938" width="16.625" style="222" customWidth="1"/>
    <col min="7939" max="7939" width="12.625" style="222" customWidth="1"/>
    <col min="7940" max="7940" width="14.625" style="222" customWidth="1"/>
    <col min="7941" max="7941" width="16.625" style="222" customWidth="1"/>
    <col min="7942" max="7942" width="11.5" style="222" customWidth="1"/>
    <col min="7943" max="7943" width="9" style="222" hidden="1" customWidth="1"/>
    <col min="7944" max="8192" width="9" style="222"/>
    <col min="8193" max="8193" width="46.75" style="222" customWidth="1"/>
    <col min="8194" max="8194" width="16.625" style="222" customWidth="1"/>
    <col min="8195" max="8195" width="12.625" style="222" customWidth="1"/>
    <col min="8196" max="8196" width="14.625" style="222" customWidth="1"/>
    <col min="8197" max="8197" width="16.625" style="222" customWidth="1"/>
    <col min="8198" max="8198" width="11.5" style="222" customWidth="1"/>
    <col min="8199" max="8199" width="9" style="222" hidden="1" customWidth="1"/>
    <col min="8200" max="8448" width="9" style="222"/>
    <col min="8449" max="8449" width="46.75" style="222" customWidth="1"/>
    <col min="8450" max="8450" width="16.625" style="222" customWidth="1"/>
    <col min="8451" max="8451" width="12.625" style="222" customWidth="1"/>
    <col min="8452" max="8452" width="14.625" style="222" customWidth="1"/>
    <col min="8453" max="8453" width="16.625" style="222" customWidth="1"/>
    <col min="8454" max="8454" width="11.5" style="222" customWidth="1"/>
    <col min="8455" max="8455" width="9" style="222" hidden="1" customWidth="1"/>
    <col min="8456" max="8704" width="9" style="222"/>
    <col min="8705" max="8705" width="46.75" style="222" customWidth="1"/>
    <col min="8706" max="8706" width="16.625" style="222" customWidth="1"/>
    <col min="8707" max="8707" width="12.625" style="222" customWidth="1"/>
    <col min="8708" max="8708" width="14.625" style="222" customWidth="1"/>
    <col min="8709" max="8709" width="16.625" style="222" customWidth="1"/>
    <col min="8710" max="8710" width="11.5" style="222" customWidth="1"/>
    <col min="8711" max="8711" width="9" style="222" hidden="1" customWidth="1"/>
    <col min="8712" max="8960" width="9" style="222"/>
    <col min="8961" max="8961" width="46.75" style="222" customWidth="1"/>
    <col min="8962" max="8962" width="16.625" style="222" customWidth="1"/>
    <col min="8963" max="8963" width="12.625" style="222" customWidth="1"/>
    <col min="8964" max="8964" width="14.625" style="222" customWidth="1"/>
    <col min="8965" max="8965" width="16.625" style="222" customWidth="1"/>
    <col min="8966" max="8966" width="11.5" style="222" customWidth="1"/>
    <col min="8967" max="8967" width="9" style="222" hidden="1" customWidth="1"/>
    <col min="8968" max="9216" width="9" style="222"/>
    <col min="9217" max="9217" width="46.75" style="222" customWidth="1"/>
    <col min="9218" max="9218" width="16.625" style="222" customWidth="1"/>
    <col min="9219" max="9219" width="12.625" style="222" customWidth="1"/>
    <col min="9220" max="9220" width="14.625" style="222" customWidth="1"/>
    <col min="9221" max="9221" width="16.625" style="222" customWidth="1"/>
    <col min="9222" max="9222" width="11.5" style="222" customWidth="1"/>
    <col min="9223" max="9223" width="9" style="222" hidden="1" customWidth="1"/>
    <col min="9224" max="9472" width="9" style="222"/>
    <col min="9473" max="9473" width="46.75" style="222" customWidth="1"/>
    <col min="9474" max="9474" width="16.625" style="222" customWidth="1"/>
    <col min="9475" max="9475" width="12.625" style="222" customWidth="1"/>
    <col min="9476" max="9476" width="14.625" style="222" customWidth="1"/>
    <col min="9477" max="9477" width="16.625" style="222" customWidth="1"/>
    <col min="9478" max="9478" width="11.5" style="222" customWidth="1"/>
    <col min="9479" max="9479" width="9" style="222" hidden="1" customWidth="1"/>
    <col min="9480" max="9728" width="9" style="222"/>
    <col min="9729" max="9729" width="46.75" style="222" customWidth="1"/>
    <col min="9730" max="9730" width="16.625" style="222" customWidth="1"/>
    <col min="9731" max="9731" width="12.625" style="222" customWidth="1"/>
    <col min="9732" max="9732" width="14.625" style="222" customWidth="1"/>
    <col min="9733" max="9733" width="16.625" style="222" customWidth="1"/>
    <col min="9734" max="9734" width="11.5" style="222" customWidth="1"/>
    <col min="9735" max="9735" width="9" style="222" hidden="1" customWidth="1"/>
    <col min="9736" max="9984" width="9" style="222"/>
    <col min="9985" max="9985" width="46.75" style="222" customWidth="1"/>
    <col min="9986" max="9986" width="16.625" style="222" customWidth="1"/>
    <col min="9987" max="9987" width="12.625" style="222" customWidth="1"/>
    <col min="9988" max="9988" width="14.625" style="222" customWidth="1"/>
    <col min="9989" max="9989" width="16.625" style="222" customWidth="1"/>
    <col min="9990" max="9990" width="11.5" style="222" customWidth="1"/>
    <col min="9991" max="9991" width="9" style="222" hidden="1" customWidth="1"/>
    <col min="9992" max="10240" width="9" style="222"/>
    <col min="10241" max="10241" width="46.75" style="222" customWidth="1"/>
    <col min="10242" max="10242" width="16.625" style="222" customWidth="1"/>
    <col min="10243" max="10243" width="12.625" style="222" customWidth="1"/>
    <col min="10244" max="10244" width="14.625" style="222" customWidth="1"/>
    <col min="10245" max="10245" width="16.625" style="222" customWidth="1"/>
    <col min="10246" max="10246" width="11.5" style="222" customWidth="1"/>
    <col min="10247" max="10247" width="9" style="222" hidden="1" customWidth="1"/>
    <col min="10248" max="10496" width="9" style="222"/>
    <col min="10497" max="10497" width="46.75" style="222" customWidth="1"/>
    <col min="10498" max="10498" width="16.625" style="222" customWidth="1"/>
    <col min="10499" max="10499" width="12.625" style="222" customWidth="1"/>
    <col min="10500" max="10500" width="14.625" style="222" customWidth="1"/>
    <col min="10501" max="10501" width="16.625" style="222" customWidth="1"/>
    <col min="10502" max="10502" width="11.5" style="222" customWidth="1"/>
    <col min="10503" max="10503" width="9" style="222" hidden="1" customWidth="1"/>
    <col min="10504" max="10752" width="9" style="222"/>
    <col min="10753" max="10753" width="46.75" style="222" customWidth="1"/>
    <col min="10754" max="10754" width="16.625" style="222" customWidth="1"/>
    <col min="10755" max="10755" width="12.625" style="222" customWidth="1"/>
    <col min="10756" max="10756" width="14.625" style="222" customWidth="1"/>
    <col min="10757" max="10757" width="16.625" style="222" customWidth="1"/>
    <col min="10758" max="10758" width="11.5" style="222" customWidth="1"/>
    <col min="10759" max="10759" width="9" style="222" hidden="1" customWidth="1"/>
    <col min="10760" max="11008" width="9" style="222"/>
    <col min="11009" max="11009" width="46.75" style="222" customWidth="1"/>
    <col min="11010" max="11010" width="16.625" style="222" customWidth="1"/>
    <col min="11011" max="11011" width="12.625" style="222" customWidth="1"/>
    <col min="11012" max="11012" width="14.625" style="222" customWidth="1"/>
    <col min="11013" max="11013" width="16.625" style="222" customWidth="1"/>
    <col min="11014" max="11014" width="11.5" style="222" customWidth="1"/>
    <col min="11015" max="11015" width="9" style="222" hidden="1" customWidth="1"/>
    <col min="11016" max="11264" width="9" style="222"/>
    <col min="11265" max="11265" width="46.75" style="222" customWidth="1"/>
    <col min="11266" max="11266" width="16.625" style="222" customWidth="1"/>
    <col min="11267" max="11267" width="12.625" style="222" customWidth="1"/>
    <col min="11268" max="11268" width="14.625" style="222" customWidth="1"/>
    <col min="11269" max="11269" width="16.625" style="222" customWidth="1"/>
    <col min="11270" max="11270" width="11.5" style="222" customWidth="1"/>
    <col min="11271" max="11271" width="9" style="222" hidden="1" customWidth="1"/>
    <col min="11272" max="11520" width="9" style="222"/>
    <col min="11521" max="11521" width="46.75" style="222" customWidth="1"/>
    <col min="11522" max="11522" width="16.625" style="222" customWidth="1"/>
    <col min="11523" max="11523" width="12.625" style="222" customWidth="1"/>
    <col min="11524" max="11524" width="14.625" style="222" customWidth="1"/>
    <col min="11525" max="11525" width="16.625" style="222" customWidth="1"/>
    <col min="11526" max="11526" width="11.5" style="222" customWidth="1"/>
    <col min="11527" max="11527" width="9" style="222" hidden="1" customWidth="1"/>
    <col min="11528" max="11776" width="9" style="222"/>
    <col min="11777" max="11777" width="46.75" style="222" customWidth="1"/>
    <col min="11778" max="11778" width="16.625" style="222" customWidth="1"/>
    <col min="11779" max="11779" width="12.625" style="222" customWidth="1"/>
    <col min="11780" max="11780" width="14.625" style="222" customWidth="1"/>
    <col min="11781" max="11781" width="16.625" style="222" customWidth="1"/>
    <col min="11782" max="11782" width="11.5" style="222" customWidth="1"/>
    <col min="11783" max="11783" width="9" style="222" hidden="1" customWidth="1"/>
    <col min="11784" max="12032" width="9" style="222"/>
    <col min="12033" max="12033" width="46.75" style="222" customWidth="1"/>
    <col min="12034" max="12034" width="16.625" style="222" customWidth="1"/>
    <col min="12035" max="12035" width="12.625" style="222" customWidth="1"/>
    <col min="12036" max="12036" width="14.625" style="222" customWidth="1"/>
    <col min="12037" max="12037" width="16.625" style="222" customWidth="1"/>
    <col min="12038" max="12038" width="11.5" style="222" customWidth="1"/>
    <col min="12039" max="12039" width="9" style="222" hidden="1" customWidth="1"/>
    <col min="12040" max="12288" width="9" style="222"/>
    <col min="12289" max="12289" width="46.75" style="222" customWidth="1"/>
    <col min="12290" max="12290" width="16.625" style="222" customWidth="1"/>
    <col min="12291" max="12291" width="12.625" style="222" customWidth="1"/>
    <col min="12292" max="12292" width="14.625" style="222" customWidth="1"/>
    <col min="12293" max="12293" width="16.625" style="222" customWidth="1"/>
    <col min="12294" max="12294" width="11.5" style="222" customWidth="1"/>
    <col min="12295" max="12295" width="9" style="222" hidden="1" customWidth="1"/>
    <col min="12296" max="12544" width="9" style="222"/>
    <col min="12545" max="12545" width="46.75" style="222" customWidth="1"/>
    <col min="12546" max="12546" width="16.625" style="222" customWidth="1"/>
    <col min="12547" max="12547" width="12.625" style="222" customWidth="1"/>
    <col min="12548" max="12548" width="14.625" style="222" customWidth="1"/>
    <col min="12549" max="12549" width="16.625" style="222" customWidth="1"/>
    <col min="12550" max="12550" width="11.5" style="222" customWidth="1"/>
    <col min="12551" max="12551" width="9" style="222" hidden="1" customWidth="1"/>
    <col min="12552" max="12800" width="9" style="222"/>
    <col min="12801" max="12801" width="46.75" style="222" customWidth="1"/>
    <col min="12802" max="12802" width="16.625" style="222" customWidth="1"/>
    <col min="12803" max="12803" width="12.625" style="222" customWidth="1"/>
    <col min="12804" max="12804" width="14.625" style="222" customWidth="1"/>
    <col min="12805" max="12805" width="16.625" style="222" customWidth="1"/>
    <col min="12806" max="12806" width="11.5" style="222" customWidth="1"/>
    <col min="12807" max="12807" width="9" style="222" hidden="1" customWidth="1"/>
    <col min="12808" max="13056" width="9" style="222"/>
    <col min="13057" max="13057" width="46.75" style="222" customWidth="1"/>
    <col min="13058" max="13058" width="16.625" style="222" customWidth="1"/>
    <col min="13059" max="13059" width="12.625" style="222" customWidth="1"/>
    <col min="13060" max="13060" width="14.625" style="222" customWidth="1"/>
    <col min="13061" max="13061" width="16.625" style="222" customWidth="1"/>
    <col min="13062" max="13062" width="11.5" style="222" customWidth="1"/>
    <col min="13063" max="13063" width="9" style="222" hidden="1" customWidth="1"/>
    <col min="13064" max="13312" width="9" style="222"/>
    <col min="13313" max="13313" width="46.75" style="222" customWidth="1"/>
    <col min="13314" max="13314" width="16.625" style="222" customWidth="1"/>
    <col min="13315" max="13315" width="12.625" style="222" customWidth="1"/>
    <col min="13316" max="13316" width="14.625" style="222" customWidth="1"/>
    <col min="13317" max="13317" width="16.625" style="222" customWidth="1"/>
    <col min="13318" max="13318" width="11.5" style="222" customWidth="1"/>
    <col min="13319" max="13319" width="9" style="222" hidden="1" customWidth="1"/>
    <col min="13320" max="13568" width="9" style="222"/>
    <col min="13569" max="13569" width="46.75" style="222" customWidth="1"/>
    <col min="13570" max="13570" width="16.625" style="222" customWidth="1"/>
    <col min="13571" max="13571" width="12.625" style="222" customWidth="1"/>
    <col min="13572" max="13572" width="14.625" style="222" customWidth="1"/>
    <col min="13573" max="13573" width="16.625" style="222" customWidth="1"/>
    <col min="13574" max="13574" width="11.5" style="222" customWidth="1"/>
    <col min="13575" max="13575" width="9" style="222" hidden="1" customWidth="1"/>
    <col min="13576" max="13824" width="9" style="222"/>
    <col min="13825" max="13825" width="46.75" style="222" customWidth="1"/>
    <col min="13826" max="13826" width="16.625" style="222" customWidth="1"/>
    <col min="13827" max="13827" width="12.625" style="222" customWidth="1"/>
    <col min="13828" max="13828" width="14.625" style="222" customWidth="1"/>
    <col min="13829" max="13829" width="16.625" style="222" customWidth="1"/>
    <col min="13830" max="13830" width="11.5" style="222" customWidth="1"/>
    <col min="13831" max="13831" width="9" style="222" hidden="1" customWidth="1"/>
    <col min="13832" max="14080" width="9" style="222"/>
    <col min="14081" max="14081" width="46.75" style="222" customWidth="1"/>
    <col min="14082" max="14082" width="16.625" style="222" customWidth="1"/>
    <col min="14083" max="14083" width="12.625" style="222" customWidth="1"/>
    <col min="14084" max="14084" width="14.625" style="222" customWidth="1"/>
    <col min="14085" max="14085" width="16.625" style="222" customWidth="1"/>
    <col min="14086" max="14086" width="11.5" style="222" customWidth="1"/>
    <col min="14087" max="14087" width="9" style="222" hidden="1" customWidth="1"/>
    <col min="14088" max="14336" width="9" style="222"/>
    <col min="14337" max="14337" width="46.75" style="222" customWidth="1"/>
    <col min="14338" max="14338" width="16.625" style="222" customWidth="1"/>
    <col min="14339" max="14339" width="12.625" style="222" customWidth="1"/>
    <col min="14340" max="14340" width="14.625" style="222" customWidth="1"/>
    <col min="14341" max="14341" width="16.625" style="222" customWidth="1"/>
    <col min="14342" max="14342" width="11.5" style="222" customWidth="1"/>
    <col min="14343" max="14343" width="9" style="222" hidden="1" customWidth="1"/>
    <col min="14344" max="14592" width="9" style="222"/>
    <col min="14593" max="14593" width="46.75" style="222" customWidth="1"/>
    <col min="14594" max="14594" width="16.625" style="222" customWidth="1"/>
    <col min="14595" max="14595" width="12.625" style="222" customWidth="1"/>
    <col min="14596" max="14596" width="14.625" style="222" customWidth="1"/>
    <col min="14597" max="14597" width="16.625" style="222" customWidth="1"/>
    <col min="14598" max="14598" width="11.5" style="222" customWidth="1"/>
    <col min="14599" max="14599" width="9" style="222" hidden="1" customWidth="1"/>
    <col min="14600" max="14848" width="9" style="222"/>
    <col min="14849" max="14849" width="46.75" style="222" customWidth="1"/>
    <col min="14850" max="14850" width="16.625" style="222" customWidth="1"/>
    <col min="14851" max="14851" width="12.625" style="222" customWidth="1"/>
    <col min="14852" max="14852" width="14.625" style="222" customWidth="1"/>
    <col min="14853" max="14853" width="16.625" style="222" customWidth="1"/>
    <col min="14854" max="14854" width="11.5" style="222" customWidth="1"/>
    <col min="14855" max="14855" width="9" style="222" hidden="1" customWidth="1"/>
    <col min="14856" max="15104" width="9" style="222"/>
    <col min="15105" max="15105" width="46.75" style="222" customWidth="1"/>
    <col min="15106" max="15106" width="16.625" style="222" customWidth="1"/>
    <col min="15107" max="15107" width="12.625" style="222" customWidth="1"/>
    <col min="15108" max="15108" width="14.625" style="222" customWidth="1"/>
    <col min="15109" max="15109" width="16.625" style="222" customWidth="1"/>
    <col min="15110" max="15110" width="11.5" style="222" customWidth="1"/>
    <col min="15111" max="15111" width="9" style="222" hidden="1" customWidth="1"/>
    <col min="15112" max="15360" width="9" style="222"/>
    <col min="15361" max="15361" width="46.75" style="222" customWidth="1"/>
    <col min="15362" max="15362" width="16.625" style="222" customWidth="1"/>
    <col min="15363" max="15363" width="12.625" style="222" customWidth="1"/>
    <col min="15364" max="15364" width="14.625" style="222" customWidth="1"/>
    <col min="15365" max="15365" width="16.625" style="222" customWidth="1"/>
    <col min="15366" max="15366" width="11.5" style="222" customWidth="1"/>
    <col min="15367" max="15367" width="9" style="222" hidden="1" customWidth="1"/>
    <col min="15368" max="15616" width="9" style="222"/>
    <col min="15617" max="15617" width="46.75" style="222" customWidth="1"/>
    <col min="15618" max="15618" width="16.625" style="222" customWidth="1"/>
    <col min="15619" max="15619" width="12.625" style="222" customWidth="1"/>
    <col min="15620" max="15620" width="14.625" style="222" customWidth="1"/>
    <col min="15621" max="15621" width="16.625" style="222" customWidth="1"/>
    <col min="15622" max="15622" width="11.5" style="222" customWidth="1"/>
    <col min="15623" max="15623" width="9" style="222" hidden="1" customWidth="1"/>
    <col min="15624" max="15872" width="9" style="222"/>
    <col min="15873" max="15873" width="46.75" style="222" customWidth="1"/>
    <col min="15874" max="15874" width="16.625" style="222" customWidth="1"/>
    <col min="15875" max="15875" width="12.625" style="222" customWidth="1"/>
    <col min="15876" max="15876" width="14.625" style="222" customWidth="1"/>
    <col min="15877" max="15877" width="16.625" style="222" customWidth="1"/>
    <col min="15878" max="15878" width="11.5" style="222" customWidth="1"/>
    <col min="15879" max="15879" width="9" style="222" hidden="1" customWidth="1"/>
    <col min="15880" max="16128" width="9" style="222"/>
    <col min="16129" max="16129" width="46.75" style="222" customWidth="1"/>
    <col min="16130" max="16130" width="16.625" style="222" customWidth="1"/>
    <col min="16131" max="16131" width="12.625" style="222" customWidth="1"/>
    <col min="16132" max="16132" width="14.625" style="222" customWidth="1"/>
    <col min="16133" max="16133" width="16.625" style="222" customWidth="1"/>
    <col min="16134" max="16134" width="11.5" style="222" customWidth="1"/>
    <col min="16135" max="16135" width="9" style="222" hidden="1" customWidth="1"/>
    <col min="16136" max="16384" width="9" style="222"/>
  </cols>
  <sheetData>
    <row r="1" ht="28.5" spans="1:6">
      <c r="A1" s="246" t="s">
        <v>54</v>
      </c>
      <c r="B1" s="246"/>
      <c r="C1" s="246"/>
      <c r="D1" s="246"/>
      <c r="E1" s="246"/>
      <c r="F1" s="246"/>
    </row>
    <row r="2" ht="21.95" customHeight="1" spans="1:6">
      <c r="A2" s="250" t="s">
        <v>55</v>
      </c>
      <c r="B2" s="298"/>
      <c r="C2" s="298"/>
      <c r="D2" s="298"/>
      <c r="E2" s="299"/>
      <c r="F2" s="300" t="s">
        <v>2</v>
      </c>
    </row>
    <row r="3" ht="21.95" customHeight="1" spans="1:6">
      <c r="A3" s="301" t="s">
        <v>56</v>
      </c>
      <c r="B3" s="302" t="s">
        <v>57</v>
      </c>
      <c r="C3" s="302" t="s">
        <v>58</v>
      </c>
      <c r="D3" s="303" t="s">
        <v>59</v>
      </c>
      <c r="E3" s="303" t="s">
        <v>60</v>
      </c>
      <c r="F3" s="304" t="s">
        <v>61</v>
      </c>
    </row>
    <row r="4" ht="21.95" customHeight="1" spans="1:6">
      <c r="A4" s="305" t="s">
        <v>62</v>
      </c>
      <c r="B4" s="114">
        <v>27725</v>
      </c>
      <c r="C4" s="114">
        <v>27606</v>
      </c>
      <c r="D4" s="306">
        <v>0.99570784490532</v>
      </c>
      <c r="E4" s="306">
        <v>-0.0106085585262705</v>
      </c>
      <c r="F4" s="255"/>
    </row>
    <row r="5" ht="21.95" customHeight="1" spans="1:6">
      <c r="A5" s="305" t="s">
        <v>63</v>
      </c>
      <c r="B5" s="114"/>
      <c r="C5" s="114"/>
      <c r="D5" s="306"/>
      <c r="E5" s="306"/>
      <c r="F5" s="255"/>
    </row>
    <row r="6" ht="21.95" customHeight="1" spans="1:6">
      <c r="A6" s="305" t="s">
        <v>64</v>
      </c>
      <c r="B6" s="114">
        <v>186</v>
      </c>
      <c r="C6" s="114">
        <v>186</v>
      </c>
      <c r="D6" s="306">
        <v>1</v>
      </c>
      <c r="E6" s="306">
        <v>-0.180616740088106</v>
      </c>
      <c r="F6" s="255"/>
    </row>
    <row r="7" ht="21.95" customHeight="1" spans="1:6">
      <c r="A7" s="307" t="s">
        <v>65</v>
      </c>
      <c r="B7" s="114">
        <v>12552</v>
      </c>
      <c r="C7" s="114">
        <v>12512</v>
      </c>
      <c r="D7" s="306">
        <v>0.996813256851498</v>
      </c>
      <c r="E7" s="306">
        <v>-0.216629100926622</v>
      </c>
      <c r="F7" s="255"/>
    </row>
    <row r="8" ht="21.95" customHeight="1" spans="1:6">
      <c r="A8" s="307" t="s">
        <v>66</v>
      </c>
      <c r="B8" s="114">
        <v>65050</v>
      </c>
      <c r="C8" s="114">
        <v>62287</v>
      </c>
      <c r="D8" s="306">
        <v>0.957524980784012</v>
      </c>
      <c r="E8" s="306">
        <v>-0.171373837619231</v>
      </c>
      <c r="F8" s="255"/>
    </row>
    <row r="9" ht="21.95" customHeight="1" spans="1:6">
      <c r="A9" s="307" t="s">
        <v>67</v>
      </c>
      <c r="B9" s="114">
        <v>1638</v>
      </c>
      <c r="C9" s="114">
        <v>1638</v>
      </c>
      <c r="D9" s="306">
        <v>1</v>
      </c>
      <c r="E9" s="306">
        <v>4.18354430379747</v>
      </c>
      <c r="F9" s="255"/>
    </row>
    <row r="10" ht="21.95" customHeight="1" spans="1:6">
      <c r="A10" s="305" t="s">
        <v>68</v>
      </c>
      <c r="B10" s="114">
        <v>3826</v>
      </c>
      <c r="C10" s="114">
        <v>3826</v>
      </c>
      <c r="D10" s="306">
        <v>1</v>
      </c>
      <c r="E10" s="306">
        <v>-0.172756756756757</v>
      </c>
      <c r="F10" s="255"/>
    </row>
    <row r="11" ht="21.95" customHeight="1" spans="1:6">
      <c r="A11" s="305" t="s">
        <v>69</v>
      </c>
      <c r="B11" s="114">
        <v>56180</v>
      </c>
      <c r="C11" s="114">
        <v>55746</v>
      </c>
      <c r="D11" s="306">
        <v>0.992274830900676</v>
      </c>
      <c r="E11" s="306">
        <v>0.581850685281348</v>
      </c>
      <c r="F11" s="255"/>
    </row>
    <row r="12" ht="21.95" customHeight="1" spans="1:6">
      <c r="A12" s="305" t="s">
        <v>70</v>
      </c>
      <c r="B12" s="114">
        <v>12488</v>
      </c>
      <c r="C12" s="114">
        <v>12310</v>
      </c>
      <c r="D12" s="306">
        <v>0.985746316463805</v>
      </c>
      <c r="E12" s="306">
        <v>-0.66135732166928</v>
      </c>
      <c r="F12" s="255"/>
    </row>
    <row r="13" ht="21.95" customHeight="1" spans="1:6">
      <c r="A13" s="308" t="s">
        <v>71</v>
      </c>
      <c r="B13" s="114">
        <v>4064</v>
      </c>
      <c r="C13" s="114">
        <v>3982</v>
      </c>
      <c r="D13" s="306">
        <v>0.979822834645669</v>
      </c>
      <c r="E13" s="306">
        <v>-0.379364089775561</v>
      </c>
      <c r="F13" s="255"/>
    </row>
    <row r="14" ht="21.95" customHeight="1" spans="1:6">
      <c r="A14" s="307" t="s">
        <v>72</v>
      </c>
      <c r="B14" s="114">
        <v>21350</v>
      </c>
      <c r="C14" s="114">
        <v>21293</v>
      </c>
      <c r="D14" s="306">
        <v>0.997330210772834</v>
      </c>
      <c r="E14" s="306">
        <v>0.165462506841817</v>
      </c>
      <c r="F14" s="255"/>
    </row>
    <row r="15" ht="21.95" customHeight="1" spans="1:6">
      <c r="A15" s="307" t="s">
        <v>73</v>
      </c>
      <c r="B15" s="114">
        <v>12313</v>
      </c>
      <c r="C15" s="114">
        <v>11436</v>
      </c>
      <c r="D15" s="306">
        <v>0.928774466011533</v>
      </c>
      <c r="E15" s="306">
        <v>-0.477545799259902</v>
      </c>
      <c r="F15" s="255"/>
    </row>
    <row r="16" ht="21.95" customHeight="1" spans="1:6">
      <c r="A16" s="305" t="s">
        <v>74</v>
      </c>
      <c r="B16" s="114">
        <v>4063</v>
      </c>
      <c r="C16" s="114">
        <v>4063</v>
      </c>
      <c r="D16" s="306">
        <v>1</v>
      </c>
      <c r="E16" s="306">
        <v>0.0213675213675214</v>
      </c>
      <c r="F16" s="255"/>
    </row>
    <row r="17" ht="21.95" customHeight="1" spans="1:6">
      <c r="A17" s="307" t="s">
        <v>75</v>
      </c>
      <c r="B17" s="114">
        <v>6977</v>
      </c>
      <c r="C17" s="114">
        <v>6691</v>
      </c>
      <c r="D17" s="306">
        <v>0.959008169700444</v>
      </c>
      <c r="E17" s="306">
        <v>0.0304943785615278</v>
      </c>
      <c r="F17" s="255"/>
    </row>
    <row r="18" ht="21.95" customHeight="1" spans="1:6">
      <c r="A18" s="307" t="s">
        <v>76</v>
      </c>
      <c r="B18" s="114">
        <v>1338</v>
      </c>
      <c r="C18" s="114">
        <v>1338</v>
      </c>
      <c r="D18" s="306">
        <v>1</v>
      </c>
      <c r="E18" s="306">
        <v>0.791164658634538</v>
      </c>
      <c r="F18" s="255"/>
    </row>
    <row r="19" ht="21.95" customHeight="1" spans="1:6">
      <c r="A19" s="307" t="s">
        <v>77</v>
      </c>
      <c r="B19" s="114">
        <v>160</v>
      </c>
      <c r="C19" s="114"/>
      <c r="D19" s="306"/>
      <c r="E19" s="306"/>
      <c r="F19" s="255"/>
    </row>
    <row r="20" ht="21.95" customHeight="1" spans="1:6">
      <c r="A20" s="307" t="s">
        <v>78</v>
      </c>
      <c r="B20" s="114"/>
      <c r="C20" s="114"/>
      <c r="D20" s="306"/>
      <c r="E20" s="306"/>
      <c r="F20" s="255"/>
    </row>
    <row r="21" ht="21.95" customHeight="1" spans="1:6">
      <c r="A21" s="307" t="s">
        <v>79</v>
      </c>
      <c r="B21" s="114">
        <v>751</v>
      </c>
      <c r="C21" s="114">
        <v>751</v>
      </c>
      <c r="D21" s="306">
        <v>1</v>
      </c>
      <c r="E21" s="306">
        <v>-0.774677467746775</v>
      </c>
      <c r="F21" s="309"/>
    </row>
    <row r="22" ht="21.95" customHeight="1" spans="1:6">
      <c r="A22" s="307" t="s">
        <v>80</v>
      </c>
      <c r="B22" s="114">
        <v>15862</v>
      </c>
      <c r="C22" s="114">
        <v>15675</v>
      </c>
      <c r="D22" s="306">
        <v>0.988210818307906</v>
      </c>
      <c r="E22" s="306">
        <v>7.05498458376156</v>
      </c>
      <c r="F22" s="255"/>
    </row>
    <row r="23" ht="21.95" customHeight="1" spans="1:6">
      <c r="A23" s="307" t="s">
        <v>81</v>
      </c>
      <c r="B23" s="114">
        <v>246</v>
      </c>
      <c r="C23" s="114">
        <v>246</v>
      </c>
      <c r="D23" s="306">
        <v>1</v>
      </c>
      <c r="E23" s="306">
        <v>-0.206451612903226</v>
      </c>
      <c r="F23" s="255"/>
    </row>
    <row r="24" ht="21.95" customHeight="1" spans="1:6">
      <c r="A24" s="307" t="s">
        <v>82</v>
      </c>
      <c r="B24" s="114">
        <v>225</v>
      </c>
      <c r="C24" s="114">
        <v>11</v>
      </c>
      <c r="D24" s="306">
        <v>0.0488888888888889</v>
      </c>
      <c r="E24" s="306">
        <v>-0.982649842271293</v>
      </c>
      <c r="F24" s="309"/>
    </row>
    <row r="25" ht="21.95" customHeight="1" spans="1:6">
      <c r="A25" s="310" t="s">
        <v>83</v>
      </c>
      <c r="B25" s="114">
        <v>7687</v>
      </c>
      <c r="C25" s="114">
        <v>7687</v>
      </c>
      <c r="D25" s="306">
        <v>1</v>
      </c>
      <c r="E25" s="306"/>
      <c r="F25" s="255"/>
    </row>
    <row r="26" ht="21.95" customHeight="1" spans="1:6">
      <c r="A26" s="311" t="s">
        <v>84</v>
      </c>
      <c r="B26" s="114">
        <f>B25+B24+B23+B22+B21+B18+B17+B16+B15+B14+B13+B12+B11+B10+B9+B8+B7+B6+B4+B19</f>
        <v>254681</v>
      </c>
      <c r="C26" s="114">
        <f>C25+C24+C23+C22+C21+C18+C17+C16+C15+C14+C13+C12+C11+C10+C9+C8+C7+C6+C4</f>
        <v>249284</v>
      </c>
      <c r="D26" s="306">
        <f>C26/B26</f>
        <v>0.978808784322348</v>
      </c>
      <c r="E26" s="306">
        <v>-0.0501476499838061</v>
      </c>
      <c r="F26" s="255">
        <f>F25+F24+F23+F22+F21+F18+F17+F16+F15+F14+F13+F12+F11+F10+F9+F8+F7+F6+F4</f>
        <v>0</v>
      </c>
    </row>
    <row r="27" ht="21.95" customHeight="1" spans="1:6">
      <c r="A27" s="214" t="s">
        <v>85</v>
      </c>
      <c r="B27" s="312">
        <v>20391</v>
      </c>
      <c r="C27" s="312">
        <v>20391</v>
      </c>
      <c r="D27" s="306"/>
      <c r="E27" s="306">
        <v>0</v>
      </c>
      <c r="F27" s="214"/>
    </row>
    <row r="28" ht="21.95" customHeight="1" spans="1:6">
      <c r="A28" s="214" t="s">
        <v>86</v>
      </c>
      <c r="B28" s="312">
        <v>3235</v>
      </c>
      <c r="C28" s="312">
        <v>3235</v>
      </c>
      <c r="D28" s="306"/>
      <c r="E28" s="306">
        <v>0.898474178403756</v>
      </c>
      <c r="F28" s="214"/>
    </row>
    <row r="29" ht="21.95" customHeight="1" spans="1:6">
      <c r="A29" s="214" t="s">
        <v>87</v>
      </c>
      <c r="B29" s="312">
        <v>15763</v>
      </c>
      <c r="C29" s="312">
        <v>15763</v>
      </c>
      <c r="D29" s="306"/>
      <c r="E29" s="306">
        <v>-0.926244274023367</v>
      </c>
      <c r="F29" s="214"/>
    </row>
    <row r="30" ht="21.95" customHeight="1" spans="1:6">
      <c r="A30" s="255" t="s">
        <v>88</v>
      </c>
      <c r="B30" s="312"/>
      <c r="C30" s="312">
        <v>55419</v>
      </c>
      <c r="D30" s="306"/>
      <c r="E30" s="306">
        <v>58.0191693290735</v>
      </c>
      <c r="F30" s="214"/>
    </row>
    <row r="31" ht="21.95" customHeight="1" spans="1:6">
      <c r="A31" s="313" t="s">
        <v>89</v>
      </c>
      <c r="B31" s="312">
        <f>SUM(B26:B30)</f>
        <v>294070</v>
      </c>
      <c r="C31" s="312">
        <f>SUM(C26:C30)</f>
        <v>344092</v>
      </c>
      <c r="D31" s="306"/>
      <c r="E31" s="306">
        <v>-0.310710379448636</v>
      </c>
      <c r="F31" s="214"/>
    </row>
    <row r="32" ht="21.95" customHeight="1" spans="1:6">
      <c r="A32" s="214" t="s">
        <v>90</v>
      </c>
      <c r="B32" s="312"/>
      <c r="C32" s="312">
        <v>5397</v>
      </c>
      <c r="D32" s="306"/>
      <c r="E32" s="306">
        <v>-0.385867091488393</v>
      </c>
      <c r="F32" s="214"/>
    </row>
    <row r="33" ht="21.95" customHeight="1" spans="1:6">
      <c r="A33" s="214" t="s">
        <v>91</v>
      </c>
      <c r="B33" s="312"/>
      <c r="C33" s="312">
        <v>5397</v>
      </c>
      <c r="D33" s="306"/>
      <c r="E33" s="306">
        <v>-0.385867091488393</v>
      </c>
      <c r="F33" s="214"/>
    </row>
    <row r="34" ht="21.95" customHeight="1" spans="1:6">
      <c r="A34" s="193"/>
      <c r="B34" s="314"/>
      <c r="C34" s="314"/>
      <c r="D34" s="314"/>
      <c r="E34" s="314"/>
      <c r="F34" s="193"/>
    </row>
    <row r="35" ht="21.95" customHeight="1" spans="1:6">
      <c r="A35" s="214" t="s">
        <v>92</v>
      </c>
      <c r="B35" s="312">
        <v>175</v>
      </c>
      <c r="C35" s="312">
        <v>139</v>
      </c>
      <c r="D35" s="306">
        <v>0.794285714285714</v>
      </c>
      <c r="E35" s="306">
        <v>0.158333333333333</v>
      </c>
      <c r="F35" s="213"/>
    </row>
    <row r="36" ht="21.95" customHeight="1" spans="1:6">
      <c r="A36" s="39" t="s">
        <v>93</v>
      </c>
      <c r="B36" s="312">
        <v>235</v>
      </c>
      <c r="C36" s="312">
        <v>225</v>
      </c>
      <c r="D36" s="306">
        <v>0.957446808510638</v>
      </c>
      <c r="E36" s="306">
        <v>-0.110671936758893</v>
      </c>
      <c r="F36" s="213"/>
    </row>
    <row r="37" ht="21.95" customHeight="1" spans="1:6">
      <c r="A37" s="39" t="s">
        <v>94</v>
      </c>
      <c r="B37" s="312">
        <v>49726</v>
      </c>
      <c r="C37" s="312">
        <v>36138</v>
      </c>
      <c r="D37" s="306">
        <v>0.726742549169449</v>
      </c>
      <c r="E37" s="306">
        <v>1.2011207211597</v>
      </c>
      <c r="F37" s="213"/>
    </row>
    <row r="38" ht="21.95" customHeight="1" spans="1:6">
      <c r="A38" s="39" t="s">
        <v>95</v>
      </c>
      <c r="B38" s="312">
        <v>-63</v>
      </c>
      <c r="C38" s="312">
        <v>-63</v>
      </c>
      <c r="D38" s="306">
        <v>1</v>
      </c>
      <c r="E38" s="306">
        <v>-22</v>
      </c>
      <c r="F38" s="213"/>
    </row>
    <row r="39" ht="21.95" customHeight="1" spans="1:6">
      <c r="A39" s="39" t="s">
        <v>96</v>
      </c>
      <c r="B39" s="312">
        <v>24</v>
      </c>
      <c r="C39" s="312">
        <v>24</v>
      </c>
      <c r="D39" s="306"/>
      <c r="E39" s="306"/>
      <c r="F39" s="213"/>
    </row>
    <row r="40" ht="21.95" customHeight="1" spans="1:6">
      <c r="A40" s="39" t="s">
        <v>97</v>
      </c>
      <c r="B40" s="312">
        <v>1304</v>
      </c>
      <c r="C40" s="312">
        <v>1164</v>
      </c>
      <c r="D40" s="306">
        <v>0.892638036809816</v>
      </c>
      <c r="E40" s="306">
        <v>1.22137404580153</v>
      </c>
      <c r="F40" s="213"/>
    </row>
    <row r="41" ht="21.95" customHeight="1" spans="1:6">
      <c r="A41" s="310" t="s">
        <v>98</v>
      </c>
      <c r="B41" s="312">
        <v>258</v>
      </c>
      <c r="C41" s="312">
        <v>258</v>
      </c>
      <c r="D41" s="306">
        <v>1</v>
      </c>
      <c r="E41" s="306">
        <v>0.731543624161074</v>
      </c>
      <c r="F41" s="213"/>
    </row>
    <row r="42" ht="21.95" customHeight="1" spans="1:6">
      <c r="A42" s="315" t="s">
        <v>99</v>
      </c>
      <c r="B42" s="312">
        <f>B35+B36+B37+B38+B39+B40+B41</f>
        <v>51659</v>
      </c>
      <c r="C42" s="312">
        <f>C35+C36+C37+C38+C39+C40+C41</f>
        <v>37885</v>
      </c>
      <c r="D42" s="306">
        <f>C42/B42</f>
        <v>0.733366886699317</v>
      </c>
      <c r="E42" s="306">
        <v>1.1876</v>
      </c>
      <c r="F42" s="213"/>
    </row>
    <row r="43" ht="21.95" customHeight="1" spans="1:6">
      <c r="A43" s="214" t="s">
        <v>86</v>
      </c>
      <c r="B43" s="312">
        <v>743</v>
      </c>
      <c r="C43" s="312">
        <v>743</v>
      </c>
      <c r="D43" s="306"/>
      <c r="E43" s="306">
        <v>0.296684118673647</v>
      </c>
      <c r="F43" s="213"/>
    </row>
    <row r="44" ht="21.95" customHeight="1" spans="1:6">
      <c r="A44" s="39" t="s">
        <v>100</v>
      </c>
      <c r="B44" s="312">
        <v>18637</v>
      </c>
      <c r="C44" s="312">
        <v>18637</v>
      </c>
      <c r="D44" s="306"/>
      <c r="E44" s="306">
        <v>2.35378801511607</v>
      </c>
      <c r="F44" s="213"/>
    </row>
    <row r="45" ht="21.95" customHeight="1" spans="1:6">
      <c r="A45" s="316" t="s">
        <v>101</v>
      </c>
      <c r="B45" s="312">
        <f>SUM(B42:B44)</f>
        <v>71039</v>
      </c>
      <c r="C45" s="312">
        <f>SUM(C42:C44)</f>
        <v>57265</v>
      </c>
      <c r="D45" s="306"/>
      <c r="E45" s="306">
        <v>1.4403</v>
      </c>
      <c r="F45" s="213"/>
    </row>
    <row r="46" ht="21.95" customHeight="1" spans="1:6">
      <c r="A46" s="214" t="s">
        <v>90</v>
      </c>
      <c r="B46" s="312"/>
      <c r="C46" s="312">
        <v>13774</v>
      </c>
      <c r="D46" s="306"/>
      <c r="E46" s="306">
        <v>2.95690893421431</v>
      </c>
      <c r="F46" s="213"/>
    </row>
    <row r="47" ht="21.95" customHeight="1" spans="1:6">
      <c r="A47" s="214" t="s">
        <v>91</v>
      </c>
      <c r="B47" s="312"/>
      <c r="C47" s="312">
        <v>13774</v>
      </c>
      <c r="D47" s="306"/>
      <c r="E47" s="306">
        <v>2.95690893421431</v>
      </c>
      <c r="F47" s="213"/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3" orientation="landscape" useFirstPageNumber="1"/>
  <headerFooter alignWithMargins="0">
    <evenFooter>&amp;C-2-</evenFooter>
  </headerFooter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view="pageBreakPreview" zoomScaleNormal="100" workbookViewId="0">
      <pane xSplit="1" ySplit="3" topLeftCell="B22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39.125" style="195" customWidth="1"/>
    <col min="2" max="2" width="13.75" style="194" customWidth="1"/>
    <col min="3" max="3" width="14" style="194" customWidth="1"/>
    <col min="4" max="4" width="13" style="195" customWidth="1"/>
    <col min="5" max="5" width="14.875" style="195" customWidth="1"/>
    <col min="6" max="6" width="22.625" style="195" customWidth="1"/>
    <col min="7" max="7" width="8.5" style="195" hidden="1" customWidth="1"/>
    <col min="8" max="10" width="9" style="195" hidden="1" customWidth="1"/>
    <col min="11" max="256" width="9" style="195"/>
    <col min="257" max="257" width="39.125" style="195" customWidth="1"/>
    <col min="258" max="258" width="13.75" style="195" customWidth="1"/>
    <col min="259" max="259" width="14" style="195" customWidth="1"/>
    <col min="260" max="260" width="13" style="195" customWidth="1"/>
    <col min="261" max="261" width="14.875" style="195" customWidth="1"/>
    <col min="262" max="262" width="22.625" style="195" customWidth="1"/>
    <col min="263" max="266" width="9" style="195" hidden="1" customWidth="1"/>
    <col min="267" max="512" width="9" style="195"/>
    <col min="513" max="513" width="39.125" style="195" customWidth="1"/>
    <col min="514" max="514" width="13.75" style="195" customWidth="1"/>
    <col min="515" max="515" width="14" style="195" customWidth="1"/>
    <col min="516" max="516" width="13" style="195" customWidth="1"/>
    <col min="517" max="517" width="14.875" style="195" customWidth="1"/>
    <col min="518" max="518" width="22.625" style="195" customWidth="1"/>
    <col min="519" max="522" width="9" style="195" hidden="1" customWidth="1"/>
    <col min="523" max="768" width="9" style="195"/>
    <col min="769" max="769" width="39.125" style="195" customWidth="1"/>
    <col min="770" max="770" width="13.75" style="195" customWidth="1"/>
    <col min="771" max="771" width="14" style="195" customWidth="1"/>
    <col min="772" max="772" width="13" style="195" customWidth="1"/>
    <col min="773" max="773" width="14.875" style="195" customWidth="1"/>
    <col min="774" max="774" width="22.625" style="195" customWidth="1"/>
    <col min="775" max="778" width="9" style="195" hidden="1" customWidth="1"/>
    <col min="779" max="1024" width="9" style="195"/>
    <col min="1025" max="1025" width="39.125" style="195" customWidth="1"/>
    <col min="1026" max="1026" width="13.75" style="195" customWidth="1"/>
    <col min="1027" max="1027" width="14" style="195" customWidth="1"/>
    <col min="1028" max="1028" width="13" style="195" customWidth="1"/>
    <col min="1029" max="1029" width="14.875" style="195" customWidth="1"/>
    <col min="1030" max="1030" width="22.625" style="195" customWidth="1"/>
    <col min="1031" max="1034" width="9" style="195" hidden="1" customWidth="1"/>
    <col min="1035" max="1280" width="9" style="195"/>
    <col min="1281" max="1281" width="39.125" style="195" customWidth="1"/>
    <col min="1282" max="1282" width="13.75" style="195" customWidth="1"/>
    <col min="1283" max="1283" width="14" style="195" customWidth="1"/>
    <col min="1284" max="1284" width="13" style="195" customWidth="1"/>
    <col min="1285" max="1285" width="14.875" style="195" customWidth="1"/>
    <col min="1286" max="1286" width="22.625" style="195" customWidth="1"/>
    <col min="1287" max="1290" width="9" style="195" hidden="1" customWidth="1"/>
    <col min="1291" max="1536" width="9" style="195"/>
    <col min="1537" max="1537" width="39.125" style="195" customWidth="1"/>
    <col min="1538" max="1538" width="13.75" style="195" customWidth="1"/>
    <col min="1539" max="1539" width="14" style="195" customWidth="1"/>
    <col min="1540" max="1540" width="13" style="195" customWidth="1"/>
    <col min="1541" max="1541" width="14.875" style="195" customWidth="1"/>
    <col min="1542" max="1542" width="22.625" style="195" customWidth="1"/>
    <col min="1543" max="1546" width="9" style="195" hidden="1" customWidth="1"/>
    <col min="1547" max="1792" width="9" style="195"/>
    <col min="1793" max="1793" width="39.125" style="195" customWidth="1"/>
    <col min="1794" max="1794" width="13.75" style="195" customWidth="1"/>
    <col min="1795" max="1795" width="14" style="195" customWidth="1"/>
    <col min="1796" max="1796" width="13" style="195" customWidth="1"/>
    <col min="1797" max="1797" width="14.875" style="195" customWidth="1"/>
    <col min="1798" max="1798" width="22.625" style="195" customWidth="1"/>
    <col min="1799" max="1802" width="9" style="195" hidden="1" customWidth="1"/>
    <col min="1803" max="2048" width="9" style="195"/>
    <col min="2049" max="2049" width="39.125" style="195" customWidth="1"/>
    <col min="2050" max="2050" width="13.75" style="195" customWidth="1"/>
    <col min="2051" max="2051" width="14" style="195" customWidth="1"/>
    <col min="2052" max="2052" width="13" style="195" customWidth="1"/>
    <col min="2053" max="2053" width="14.875" style="195" customWidth="1"/>
    <col min="2054" max="2054" width="22.625" style="195" customWidth="1"/>
    <col min="2055" max="2058" width="9" style="195" hidden="1" customWidth="1"/>
    <col min="2059" max="2304" width="9" style="195"/>
    <col min="2305" max="2305" width="39.125" style="195" customWidth="1"/>
    <col min="2306" max="2306" width="13.75" style="195" customWidth="1"/>
    <col min="2307" max="2307" width="14" style="195" customWidth="1"/>
    <col min="2308" max="2308" width="13" style="195" customWidth="1"/>
    <col min="2309" max="2309" width="14.875" style="195" customWidth="1"/>
    <col min="2310" max="2310" width="22.625" style="195" customWidth="1"/>
    <col min="2311" max="2314" width="9" style="195" hidden="1" customWidth="1"/>
    <col min="2315" max="2560" width="9" style="195"/>
    <col min="2561" max="2561" width="39.125" style="195" customWidth="1"/>
    <col min="2562" max="2562" width="13.75" style="195" customWidth="1"/>
    <col min="2563" max="2563" width="14" style="195" customWidth="1"/>
    <col min="2564" max="2564" width="13" style="195" customWidth="1"/>
    <col min="2565" max="2565" width="14.875" style="195" customWidth="1"/>
    <col min="2566" max="2566" width="22.625" style="195" customWidth="1"/>
    <col min="2567" max="2570" width="9" style="195" hidden="1" customWidth="1"/>
    <col min="2571" max="2816" width="9" style="195"/>
    <col min="2817" max="2817" width="39.125" style="195" customWidth="1"/>
    <col min="2818" max="2818" width="13.75" style="195" customWidth="1"/>
    <col min="2819" max="2819" width="14" style="195" customWidth="1"/>
    <col min="2820" max="2820" width="13" style="195" customWidth="1"/>
    <col min="2821" max="2821" width="14.875" style="195" customWidth="1"/>
    <col min="2822" max="2822" width="22.625" style="195" customWidth="1"/>
    <col min="2823" max="2826" width="9" style="195" hidden="1" customWidth="1"/>
    <col min="2827" max="3072" width="9" style="195"/>
    <col min="3073" max="3073" width="39.125" style="195" customWidth="1"/>
    <col min="3074" max="3074" width="13.75" style="195" customWidth="1"/>
    <col min="3075" max="3075" width="14" style="195" customWidth="1"/>
    <col min="3076" max="3076" width="13" style="195" customWidth="1"/>
    <col min="3077" max="3077" width="14.875" style="195" customWidth="1"/>
    <col min="3078" max="3078" width="22.625" style="195" customWidth="1"/>
    <col min="3079" max="3082" width="9" style="195" hidden="1" customWidth="1"/>
    <col min="3083" max="3328" width="9" style="195"/>
    <col min="3329" max="3329" width="39.125" style="195" customWidth="1"/>
    <col min="3330" max="3330" width="13.75" style="195" customWidth="1"/>
    <col min="3331" max="3331" width="14" style="195" customWidth="1"/>
    <col min="3332" max="3332" width="13" style="195" customWidth="1"/>
    <col min="3333" max="3333" width="14.875" style="195" customWidth="1"/>
    <col min="3334" max="3334" width="22.625" style="195" customWidth="1"/>
    <col min="3335" max="3338" width="9" style="195" hidden="1" customWidth="1"/>
    <col min="3339" max="3584" width="9" style="195"/>
    <col min="3585" max="3585" width="39.125" style="195" customWidth="1"/>
    <col min="3586" max="3586" width="13.75" style="195" customWidth="1"/>
    <col min="3587" max="3587" width="14" style="195" customWidth="1"/>
    <col min="3588" max="3588" width="13" style="195" customWidth="1"/>
    <col min="3589" max="3589" width="14.875" style="195" customWidth="1"/>
    <col min="3590" max="3590" width="22.625" style="195" customWidth="1"/>
    <col min="3591" max="3594" width="9" style="195" hidden="1" customWidth="1"/>
    <col min="3595" max="3840" width="9" style="195"/>
    <col min="3841" max="3841" width="39.125" style="195" customWidth="1"/>
    <col min="3842" max="3842" width="13.75" style="195" customWidth="1"/>
    <col min="3843" max="3843" width="14" style="195" customWidth="1"/>
    <col min="3844" max="3844" width="13" style="195" customWidth="1"/>
    <col min="3845" max="3845" width="14.875" style="195" customWidth="1"/>
    <col min="3846" max="3846" width="22.625" style="195" customWidth="1"/>
    <col min="3847" max="3850" width="9" style="195" hidden="1" customWidth="1"/>
    <col min="3851" max="4096" width="9" style="195"/>
    <col min="4097" max="4097" width="39.125" style="195" customWidth="1"/>
    <col min="4098" max="4098" width="13.75" style="195" customWidth="1"/>
    <col min="4099" max="4099" width="14" style="195" customWidth="1"/>
    <col min="4100" max="4100" width="13" style="195" customWidth="1"/>
    <col min="4101" max="4101" width="14.875" style="195" customWidth="1"/>
    <col min="4102" max="4102" width="22.625" style="195" customWidth="1"/>
    <col min="4103" max="4106" width="9" style="195" hidden="1" customWidth="1"/>
    <col min="4107" max="4352" width="9" style="195"/>
    <col min="4353" max="4353" width="39.125" style="195" customWidth="1"/>
    <col min="4354" max="4354" width="13.75" style="195" customWidth="1"/>
    <col min="4355" max="4355" width="14" style="195" customWidth="1"/>
    <col min="4356" max="4356" width="13" style="195" customWidth="1"/>
    <col min="4357" max="4357" width="14.875" style="195" customWidth="1"/>
    <col min="4358" max="4358" width="22.625" style="195" customWidth="1"/>
    <col min="4359" max="4362" width="9" style="195" hidden="1" customWidth="1"/>
    <col min="4363" max="4608" width="9" style="195"/>
    <col min="4609" max="4609" width="39.125" style="195" customWidth="1"/>
    <col min="4610" max="4610" width="13.75" style="195" customWidth="1"/>
    <col min="4611" max="4611" width="14" style="195" customWidth="1"/>
    <col min="4612" max="4612" width="13" style="195" customWidth="1"/>
    <col min="4613" max="4613" width="14.875" style="195" customWidth="1"/>
    <col min="4614" max="4614" width="22.625" style="195" customWidth="1"/>
    <col min="4615" max="4618" width="9" style="195" hidden="1" customWidth="1"/>
    <col min="4619" max="4864" width="9" style="195"/>
    <col min="4865" max="4865" width="39.125" style="195" customWidth="1"/>
    <col min="4866" max="4866" width="13.75" style="195" customWidth="1"/>
    <col min="4867" max="4867" width="14" style="195" customWidth="1"/>
    <col min="4868" max="4868" width="13" style="195" customWidth="1"/>
    <col min="4869" max="4869" width="14.875" style="195" customWidth="1"/>
    <col min="4870" max="4870" width="22.625" style="195" customWidth="1"/>
    <col min="4871" max="4874" width="9" style="195" hidden="1" customWidth="1"/>
    <col min="4875" max="5120" width="9" style="195"/>
    <col min="5121" max="5121" width="39.125" style="195" customWidth="1"/>
    <col min="5122" max="5122" width="13.75" style="195" customWidth="1"/>
    <col min="5123" max="5123" width="14" style="195" customWidth="1"/>
    <col min="5124" max="5124" width="13" style="195" customWidth="1"/>
    <col min="5125" max="5125" width="14.875" style="195" customWidth="1"/>
    <col min="5126" max="5126" width="22.625" style="195" customWidth="1"/>
    <col min="5127" max="5130" width="9" style="195" hidden="1" customWidth="1"/>
    <col min="5131" max="5376" width="9" style="195"/>
    <col min="5377" max="5377" width="39.125" style="195" customWidth="1"/>
    <col min="5378" max="5378" width="13.75" style="195" customWidth="1"/>
    <col min="5379" max="5379" width="14" style="195" customWidth="1"/>
    <col min="5380" max="5380" width="13" style="195" customWidth="1"/>
    <col min="5381" max="5381" width="14.875" style="195" customWidth="1"/>
    <col min="5382" max="5382" width="22.625" style="195" customWidth="1"/>
    <col min="5383" max="5386" width="9" style="195" hidden="1" customWidth="1"/>
    <col min="5387" max="5632" width="9" style="195"/>
    <col min="5633" max="5633" width="39.125" style="195" customWidth="1"/>
    <col min="5634" max="5634" width="13.75" style="195" customWidth="1"/>
    <col min="5635" max="5635" width="14" style="195" customWidth="1"/>
    <col min="5636" max="5636" width="13" style="195" customWidth="1"/>
    <col min="5637" max="5637" width="14.875" style="195" customWidth="1"/>
    <col min="5638" max="5638" width="22.625" style="195" customWidth="1"/>
    <col min="5639" max="5642" width="9" style="195" hidden="1" customWidth="1"/>
    <col min="5643" max="5888" width="9" style="195"/>
    <col min="5889" max="5889" width="39.125" style="195" customWidth="1"/>
    <col min="5890" max="5890" width="13.75" style="195" customWidth="1"/>
    <col min="5891" max="5891" width="14" style="195" customWidth="1"/>
    <col min="5892" max="5892" width="13" style="195" customWidth="1"/>
    <col min="5893" max="5893" width="14.875" style="195" customWidth="1"/>
    <col min="5894" max="5894" width="22.625" style="195" customWidth="1"/>
    <col min="5895" max="5898" width="9" style="195" hidden="1" customWidth="1"/>
    <col min="5899" max="6144" width="9" style="195"/>
    <col min="6145" max="6145" width="39.125" style="195" customWidth="1"/>
    <col min="6146" max="6146" width="13.75" style="195" customWidth="1"/>
    <col min="6147" max="6147" width="14" style="195" customWidth="1"/>
    <col min="6148" max="6148" width="13" style="195" customWidth="1"/>
    <col min="6149" max="6149" width="14.875" style="195" customWidth="1"/>
    <col min="6150" max="6150" width="22.625" style="195" customWidth="1"/>
    <col min="6151" max="6154" width="9" style="195" hidden="1" customWidth="1"/>
    <col min="6155" max="6400" width="9" style="195"/>
    <col min="6401" max="6401" width="39.125" style="195" customWidth="1"/>
    <col min="6402" max="6402" width="13.75" style="195" customWidth="1"/>
    <col min="6403" max="6403" width="14" style="195" customWidth="1"/>
    <col min="6404" max="6404" width="13" style="195" customWidth="1"/>
    <col min="6405" max="6405" width="14.875" style="195" customWidth="1"/>
    <col min="6406" max="6406" width="22.625" style="195" customWidth="1"/>
    <col min="6407" max="6410" width="9" style="195" hidden="1" customWidth="1"/>
    <col min="6411" max="6656" width="9" style="195"/>
    <col min="6657" max="6657" width="39.125" style="195" customWidth="1"/>
    <col min="6658" max="6658" width="13.75" style="195" customWidth="1"/>
    <col min="6659" max="6659" width="14" style="195" customWidth="1"/>
    <col min="6660" max="6660" width="13" style="195" customWidth="1"/>
    <col min="6661" max="6661" width="14.875" style="195" customWidth="1"/>
    <col min="6662" max="6662" width="22.625" style="195" customWidth="1"/>
    <col min="6663" max="6666" width="9" style="195" hidden="1" customWidth="1"/>
    <col min="6667" max="6912" width="9" style="195"/>
    <col min="6913" max="6913" width="39.125" style="195" customWidth="1"/>
    <col min="6914" max="6914" width="13.75" style="195" customWidth="1"/>
    <col min="6915" max="6915" width="14" style="195" customWidth="1"/>
    <col min="6916" max="6916" width="13" style="195" customWidth="1"/>
    <col min="6917" max="6917" width="14.875" style="195" customWidth="1"/>
    <col min="6918" max="6918" width="22.625" style="195" customWidth="1"/>
    <col min="6919" max="6922" width="9" style="195" hidden="1" customWidth="1"/>
    <col min="6923" max="7168" width="9" style="195"/>
    <col min="7169" max="7169" width="39.125" style="195" customWidth="1"/>
    <col min="7170" max="7170" width="13.75" style="195" customWidth="1"/>
    <col min="7171" max="7171" width="14" style="195" customWidth="1"/>
    <col min="7172" max="7172" width="13" style="195" customWidth="1"/>
    <col min="7173" max="7173" width="14.875" style="195" customWidth="1"/>
    <col min="7174" max="7174" width="22.625" style="195" customWidth="1"/>
    <col min="7175" max="7178" width="9" style="195" hidden="1" customWidth="1"/>
    <col min="7179" max="7424" width="9" style="195"/>
    <col min="7425" max="7425" width="39.125" style="195" customWidth="1"/>
    <col min="7426" max="7426" width="13.75" style="195" customWidth="1"/>
    <col min="7427" max="7427" width="14" style="195" customWidth="1"/>
    <col min="7428" max="7428" width="13" style="195" customWidth="1"/>
    <col min="7429" max="7429" width="14.875" style="195" customWidth="1"/>
    <col min="7430" max="7430" width="22.625" style="195" customWidth="1"/>
    <col min="7431" max="7434" width="9" style="195" hidden="1" customWidth="1"/>
    <col min="7435" max="7680" width="9" style="195"/>
    <col min="7681" max="7681" width="39.125" style="195" customWidth="1"/>
    <col min="7682" max="7682" width="13.75" style="195" customWidth="1"/>
    <col min="7683" max="7683" width="14" style="195" customWidth="1"/>
    <col min="7684" max="7684" width="13" style="195" customWidth="1"/>
    <col min="7685" max="7685" width="14.875" style="195" customWidth="1"/>
    <col min="7686" max="7686" width="22.625" style="195" customWidth="1"/>
    <col min="7687" max="7690" width="9" style="195" hidden="1" customWidth="1"/>
    <col min="7691" max="7936" width="9" style="195"/>
    <col min="7937" max="7937" width="39.125" style="195" customWidth="1"/>
    <col min="7938" max="7938" width="13.75" style="195" customWidth="1"/>
    <col min="7939" max="7939" width="14" style="195" customWidth="1"/>
    <col min="7940" max="7940" width="13" style="195" customWidth="1"/>
    <col min="7941" max="7941" width="14.875" style="195" customWidth="1"/>
    <col min="7942" max="7942" width="22.625" style="195" customWidth="1"/>
    <col min="7943" max="7946" width="9" style="195" hidden="1" customWidth="1"/>
    <col min="7947" max="8192" width="9" style="195"/>
    <col min="8193" max="8193" width="39.125" style="195" customWidth="1"/>
    <col min="8194" max="8194" width="13.75" style="195" customWidth="1"/>
    <col min="8195" max="8195" width="14" style="195" customWidth="1"/>
    <col min="8196" max="8196" width="13" style="195" customWidth="1"/>
    <col min="8197" max="8197" width="14.875" style="195" customWidth="1"/>
    <col min="8198" max="8198" width="22.625" style="195" customWidth="1"/>
    <col min="8199" max="8202" width="9" style="195" hidden="1" customWidth="1"/>
    <col min="8203" max="8448" width="9" style="195"/>
    <col min="8449" max="8449" width="39.125" style="195" customWidth="1"/>
    <col min="8450" max="8450" width="13.75" style="195" customWidth="1"/>
    <col min="8451" max="8451" width="14" style="195" customWidth="1"/>
    <col min="8452" max="8452" width="13" style="195" customWidth="1"/>
    <col min="8453" max="8453" width="14.875" style="195" customWidth="1"/>
    <col min="8454" max="8454" width="22.625" style="195" customWidth="1"/>
    <col min="8455" max="8458" width="9" style="195" hidden="1" customWidth="1"/>
    <col min="8459" max="8704" width="9" style="195"/>
    <col min="8705" max="8705" width="39.125" style="195" customWidth="1"/>
    <col min="8706" max="8706" width="13.75" style="195" customWidth="1"/>
    <col min="8707" max="8707" width="14" style="195" customWidth="1"/>
    <col min="8708" max="8708" width="13" style="195" customWidth="1"/>
    <col min="8709" max="8709" width="14.875" style="195" customWidth="1"/>
    <col min="8710" max="8710" width="22.625" style="195" customWidth="1"/>
    <col min="8711" max="8714" width="9" style="195" hidden="1" customWidth="1"/>
    <col min="8715" max="8960" width="9" style="195"/>
    <col min="8961" max="8961" width="39.125" style="195" customWidth="1"/>
    <col min="8962" max="8962" width="13.75" style="195" customWidth="1"/>
    <col min="8963" max="8963" width="14" style="195" customWidth="1"/>
    <col min="8964" max="8964" width="13" style="195" customWidth="1"/>
    <col min="8965" max="8965" width="14.875" style="195" customWidth="1"/>
    <col min="8966" max="8966" width="22.625" style="195" customWidth="1"/>
    <col min="8967" max="8970" width="9" style="195" hidden="1" customWidth="1"/>
    <col min="8971" max="9216" width="9" style="195"/>
    <col min="9217" max="9217" width="39.125" style="195" customWidth="1"/>
    <col min="9218" max="9218" width="13.75" style="195" customWidth="1"/>
    <col min="9219" max="9219" width="14" style="195" customWidth="1"/>
    <col min="9220" max="9220" width="13" style="195" customWidth="1"/>
    <col min="9221" max="9221" width="14.875" style="195" customWidth="1"/>
    <col min="9222" max="9222" width="22.625" style="195" customWidth="1"/>
    <col min="9223" max="9226" width="9" style="195" hidden="1" customWidth="1"/>
    <col min="9227" max="9472" width="9" style="195"/>
    <col min="9473" max="9473" width="39.125" style="195" customWidth="1"/>
    <col min="9474" max="9474" width="13.75" style="195" customWidth="1"/>
    <col min="9475" max="9475" width="14" style="195" customWidth="1"/>
    <col min="9476" max="9476" width="13" style="195" customWidth="1"/>
    <col min="9477" max="9477" width="14.875" style="195" customWidth="1"/>
    <col min="9478" max="9478" width="22.625" style="195" customWidth="1"/>
    <col min="9479" max="9482" width="9" style="195" hidden="1" customWidth="1"/>
    <col min="9483" max="9728" width="9" style="195"/>
    <col min="9729" max="9729" width="39.125" style="195" customWidth="1"/>
    <col min="9730" max="9730" width="13.75" style="195" customWidth="1"/>
    <col min="9731" max="9731" width="14" style="195" customWidth="1"/>
    <col min="9732" max="9732" width="13" style="195" customWidth="1"/>
    <col min="9733" max="9733" width="14.875" style="195" customWidth="1"/>
    <col min="9734" max="9734" width="22.625" style="195" customWidth="1"/>
    <col min="9735" max="9738" width="9" style="195" hidden="1" customWidth="1"/>
    <col min="9739" max="9984" width="9" style="195"/>
    <col min="9985" max="9985" width="39.125" style="195" customWidth="1"/>
    <col min="9986" max="9986" width="13.75" style="195" customWidth="1"/>
    <col min="9987" max="9987" width="14" style="195" customWidth="1"/>
    <col min="9988" max="9988" width="13" style="195" customWidth="1"/>
    <col min="9989" max="9989" width="14.875" style="195" customWidth="1"/>
    <col min="9990" max="9990" width="22.625" style="195" customWidth="1"/>
    <col min="9991" max="9994" width="9" style="195" hidden="1" customWidth="1"/>
    <col min="9995" max="10240" width="9" style="195"/>
    <col min="10241" max="10241" width="39.125" style="195" customWidth="1"/>
    <col min="10242" max="10242" width="13.75" style="195" customWidth="1"/>
    <col min="10243" max="10243" width="14" style="195" customWidth="1"/>
    <col min="10244" max="10244" width="13" style="195" customWidth="1"/>
    <col min="10245" max="10245" width="14.875" style="195" customWidth="1"/>
    <col min="10246" max="10246" width="22.625" style="195" customWidth="1"/>
    <col min="10247" max="10250" width="9" style="195" hidden="1" customWidth="1"/>
    <col min="10251" max="10496" width="9" style="195"/>
    <col min="10497" max="10497" width="39.125" style="195" customWidth="1"/>
    <col min="10498" max="10498" width="13.75" style="195" customWidth="1"/>
    <col min="10499" max="10499" width="14" style="195" customWidth="1"/>
    <col min="10500" max="10500" width="13" style="195" customWidth="1"/>
    <col min="10501" max="10501" width="14.875" style="195" customWidth="1"/>
    <col min="10502" max="10502" width="22.625" style="195" customWidth="1"/>
    <col min="10503" max="10506" width="9" style="195" hidden="1" customWidth="1"/>
    <col min="10507" max="10752" width="9" style="195"/>
    <col min="10753" max="10753" width="39.125" style="195" customWidth="1"/>
    <col min="10754" max="10754" width="13.75" style="195" customWidth="1"/>
    <col min="10755" max="10755" width="14" style="195" customWidth="1"/>
    <col min="10756" max="10756" width="13" style="195" customWidth="1"/>
    <col min="10757" max="10757" width="14.875" style="195" customWidth="1"/>
    <col min="10758" max="10758" width="22.625" style="195" customWidth="1"/>
    <col min="10759" max="10762" width="9" style="195" hidden="1" customWidth="1"/>
    <col min="10763" max="11008" width="9" style="195"/>
    <col min="11009" max="11009" width="39.125" style="195" customWidth="1"/>
    <col min="11010" max="11010" width="13.75" style="195" customWidth="1"/>
    <col min="11011" max="11011" width="14" style="195" customWidth="1"/>
    <col min="11012" max="11012" width="13" style="195" customWidth="1"/>
    <col min="11013" max="11013" width="14.875" style="195" customWidth="1"/>
    <col min="11014" max="11014" width="22.625" style="195" customWidth="1"/>
    <col min="11015" max="11018" width="9" style="195" hidden="1" customWidth="1"/>
    <col min="11019" max="11264" width="9" style="195"/>
    <col min="11265" max="11265" width="39.125" style="195" customWidth="1"/>
    <col min="11266" max="11266" width="13.75" style="195" customWidth="1"/>
    <col min="11267" max="11267" width="14" style="195" customWidth="1"/>
    <col min="11268" max="11268" width="13" style="195" customWidth="1"/>
    <col min="11269" max="11269" width="14.875" style="195" customWidth="1"/>
    <col min="11270" max="11270" width="22.625" style="195" customWidth="1"/>
    <col min="11271" max="11274" width="9" style="195" hidden="1" customWidth="1"/>
    <col min="11275" max="11520" width="9" style="195"/>
    <col min="11521" max="11521" width="39.125" style="195" customWidth="1"/>
    <col min="11522" max="11522" width="13.75" style="195" customWidth="1"/>
    <col min="11523" max="11523" width="14" style="195" customWidth="1"/>
    <col min="11524" max="11524" width="13" style="195" customWidth="1"/>
    <col min="11525" max="11525" width="14.875" style="195" customWidth="1"/>
    <col min="11526" max="11526" width="22.625" style="195" customWidth="1"/>
    <col min="11527" max="11530" width="9" style="195" hidden="1" customWidth="1"/>
    <col min="11531" max="11776" width="9" style="195"/>
    <col min="11777" max="11777" width="39.125" style="195" customWidth="1"/>
    <col min="11778" max="11778" width="13.75" style="195" customWidth="1"/>
    <col min="11779" max="11779" width="14" style="195" customWidth="1"/>
    <col min="11780" max="11780" width="13" style="195" customWidth="1"/>
    <col min="11781" max="11781" width="14.875" style="195" customWidth="1"/>
    <col min="11782" max="11782" width="22.625" style="195" customWidth="1"/>
    <col min="11783" max="11786" width="9" style="195" hidden="1" customWidth="1"/>
    <col min="11787" max="12032" width="9" style="195"/>
    <col min="12033" max="12033" width="39.125" style="195" customWidth="1"/>
    <col min="12034" max="12034" width="13.75" style="195" customWidth="1"/>
    <col min="12035" max="12035" width="14" style="195" customWidth="1"/>
    <col min="12036" max="12036" width="13" style="195" customWidth="1"/>
    <col min="12037" max="12037" width="14.875" style="195" customWidth="1"/>
    <col min="12038" max="12038" width="22.625" style="195" customWidth="1"/>
    <col min="12039" max="12042" width="9" style="195" hidden="1" customWidth="1"/>
    <col min="12043" max="12288" width="9" style="195"/>
    <col min="12289" max="12289" width="39.125" style="195" customWidth="1"/>
    <col min="12290" max="12290" width="13.75" style="195" customWidth="1"/>
    <col min="12291" max="12291" width="14" style="195" customWidth="1"/>
    <col min="12292" max="12292" width="13" style="195" customWidth="1"/>
    <col min="12293" max="12293" width="14.875" style="195" customWidth="1"/>
    <col min="12294" max="12294" width="22.625" style="195" customWidth="1"/>
    <col min="12295" max="12298" width="9" style="195" hidden="1" customWidth="1"/>
    <col min="12299" max="12544" width="9" style="195"/>
    <col min="12545" max="12545" width="39.125" style="195" customWidth="1"/>
    <col min="12546" max="12546" width="13.75" style="195" customWidth="1"/>
    <col min="12547" max="12547" width="14" style="195" customWidth="1"/>
    <col min="12548" max="12548" width="13" style="195" customWidth="1"/>
    <col min="12549" max="12549" width="14.875" style="195" customWidth="1"/>
    <col min="12550" max="12550" width="22.625" style="195" customWidth="1"/>
    <col min="12551" max="12554" width="9" style="195" hidden="1" customWidth="1"/>
    <col min="12555" max="12800" width="9" style="195"/>
    <col min="12801" max="12801" width="39.125" style="195" customWidth="1"/>
    <col min="12802" max="12802" width="13.75" style="195" customWidth="1"/>
    <col min="12803" max="12803" width="14" style="195" customWidth="1"/>
    <col min="12804" max="12804" width="13" style="195" customWidth="1"/>
    <col min="12805" max="12805" width="14.875" style="195" customWidth="1"/>
    <col min="12806" max="12806" width="22.625" style="195" customWidth="1"/>
    <col min="12807" max="12810" width="9" style="195" hidden="1" customWidth="1"/>
    <col min="12811" max="13056" width="9" style="195"/>
    <col min="13057" max="13057" width="39.125" style="195" customWidth="1"/>
    <col min="13058" max="13058" width="13.75" style="195" customWidth="1"/>
    <col min="13059" max="13059" width="14" style="195" customWidth="1"/>
    <col min="13060" max="13060" width="13" style="195" customWidth="1"/>
    <col min="13061" max="13061" width="14.875" style="195" customWidth="1"/>
    <col min="13062" max="13062" width="22.625" style="195" customWidth="1"/>
    <col min="13063" max="13066" width="9" style="195" hidden="1" customWidth="1"/>
    <col min="13067" max="13312" width="9" style="195"/>
    <col min="13313" max="13313" width="39.125" style="195" customWidth="1"/>
    <col min="13314" max="13314" width="13.75" style="195" customWidth="1"/>
    <col min="13315" max="13315" width="14" style="195" customWidth="1"/>
    <col min="13316" max="13316" width="13" style="195" customWidth="1"/>
    <col min="13317" max="13317" width="14.875" style="195" customWidth="1"/>
    <col min="13318" max="13318" width="22.625" style="195" customWidth="1"/>
    <col min="13319" max="13322" width="9" style="195" hidden="1" customWidth="1"/>
    <col min="13323" max="13568" width="9" style="195"/>
    <col min="13569" max="13569" width="39.125" style="195" customWidth="1"/>
    <col min="13570" max="13570" width="13.75" style="195" customWidth="1"/>
    <col min="13571" max="13571" width="14" style="195" customWidth="1"/>
    <col min="13572" max="13572" width="13" style="195" customWidth="1"/>
    <col min="13573" max="13573" width="14.875" style="195" customWidth="1"/>
    <col min="13574" max="13574" width="22.625" style="195" customWidth="1"/>
    <col min="13575" max="13578" width="9" style="195" hidden="1" customWidth="1"/>
    <col min="13579" max="13824" width="9" style="195"/>
    <col min="13825" max="13825" width="39.125" style="195" customWidth="1"/>
    <col min="13826" max="13826" width="13.75" style="195" customWidth="1"/>
    <col min="13827" max="13827" width="14" style="195" customWidth="1"/>
    <col min="13828" max="13828" width="13" style="195" customWidth="1"/>
    <col min="13829" max="13829" width="14.875" style="195" customWidth="1"/>
    <col min="13830" max="13830" width="22.625" style="195" customWidth="1"/>
    <col min="13831" max="13834" width="9" style="195" hidden="1" customWidth="1"/>
    <col min="13835" max="14080" width="9" style="195"/>
    <col min="14081" max="14081" width="39.125" style="195" customWidth="1"/>
    <col min="14082" max="14082" width="13.75" style="195" customWidth="1"/>
    <col min="14083" max="14083" width="14" style="195" customWidth="1"/>
    <col min="14084" max="14084" width="13" style="195" customWidth="1"/>
    <col min="14085" max="14085" width="14.875" style="195" customWidth="1"/>
    <col min="14086" max="14086" width="22.625" style="195" customWidth="1"/>
    <col min="14087" max="14090" width="9" style="195" hidden="1" customWidth="1"/>
    <col min="14091" max="14336" width="9" style="195"/>
    <col min="14337" max="14337" width="39.125" style="195" customWidth="1"/>
    <col min="14338" max="14338" width="13.75" style="195" customWidth="1"/>
    <col min="14339" max="14339" width="14" style="195" customWidth="1"/>
    <col min="14340" max="14340" width="13" style="195" customWidth="1"/>
    <col min="14341" max="14341" width="14.875" style="195" customWidth="1"/>
    <col min="14342" max="14342" width="22.625" style="195" customWidth="1"/>
    <col min="14343" max="14346" width="9" style="195" hidden="1" customWidth="1"/>
    <col min="14347" max="14592" width="9" style="195"/>
    <col min="14593" max="14593" width="39.125" style="195" customWidth="1"/>
    <col min="14594" max="14594" width="13.75" style="195" customWidth="1"/>
    <col min="14595" max="14595" width="14" style="195" customWidth="1"/>
    <col min="14596" max="14596" width="13" style="195" customWidth="1"/>
    <col min="14597" max="14597" width="14.875" style="195" customWidth="1"/>
    <col min="14598" max="14598" width="22.625" style="195" customWidth="1"/>
    <col min="14599" max="14602" width="9" style="195" hidden="1" customWidth="1"/>
    <col min="14603" max="14848" width="9" style="195"/>
    <col min="14849" max="14849" width="39.125" style="195" customWidth="1"/>
    <col min="14850" max="14850" width="13.75" style="195" customWidth="1"/>
    <col min="14851" max="14851" width="14" style="195" customWidth="1"/>
    <col min="14852" max="14852" width="13" style="195" customWidth="1"/>
    <col min="14853" max="14853" width="14.875" style="195" customWidth="1"/>
    <col min="14854" max="14854" width="22.625" style="195" customWidth="1"/>
    <col min="14855" max="14858" width="9" style="195" hidden="1" customWidth="1"/>
    <col min="14859" max="15104" width="9" style="195"/>
    <col min="15105" max="15105" width="39.125" style="195" customWidth="1"/>
    <col min="15106" max="15106" width="13.75" style="195" customWidth="1"/>
    <col min="15107" max="15107" width="14" style="195" customWidth="1"/>
    <col min="15108" max="15108" width="13" style="195" customWidth="1"/>
    <col min="15109" max="15109" width="14.875" style="195" customWidth="1"/>
    <col min="15110" max="15110" width="22.625" style="195" customWidth="1"/>
    <col min="15111" max="15114" width="9" style="195" hidden="1" customWidth="1"/>
    <col min="15115" max="15360" width="9" style="195"/>
    <col min="15361" max="15361" width="39.125" style="195" customWidth="1"/>
    <col min="15362" max="15362" width="13.75" style="195" customWidth="1"/>
    <col min="15363" max="15363" width="14" style="195" customWidth="1"/>
    <col min="15364" max="15364" width="13" style="195" customWidth="1"/>
    <col min="15365" max="15365" width="14.875" style="195" customWidth="1"/>
    <col min="15366" max="15366" width="22.625" style="195" customWidth="1"/>
    <col min="15367" max="15370" width="9" style="195" hidden="1" customWidth="1"/>
    <col min="15371" max="15616" width="9" style="195"/>
    <col min="15617" max="15617" width="39.125" style="195" customWidth="1"/>
    <col min="15618" max="15618" width="13.75" style="195" customWidth="1"/>
    <col min="15619" max="15619" width="14" style="195" customWidth="1"/>
    <col min="15620" max="15620" width="13" style="195" customWidth="1"/>
    <col min="15621" max="15621" width="14.875" style="195" customWidth="1"/>
    <col min="15622" max="15622" width="22.625" style="195" customWidth="1"/>
    <col min="15623" max="15626" width="9" style="195" hidden="1" customWidth="1"/>
    <col min="15627" max="15872" width="9" style="195"/>
    <col min="15873" max="15873" width="39.125" style="195" customWidth="1"/>
    <col min="15874" max="15874" width="13.75" style="195" customWidth="1"/>
    <col min="15875" max="15875" width="14" style="195" customWidth="1"/>
    <col min="15876" max="15876" width="13" style="195" customWidth="1"/>
    <col min="15877" max="15877" width="14.875" style="195" customWidth="1"/>
    <col min="15878" max="15878" width="22.625" style="195" customWidth="1"/>
    <col min="15879" max="15882" width="9" style="195" hidden="1" customWidth="1"/>
    <col min="15883" max="16128" width="9" style="195"/>
    <col min="16129" max="16129" width="39.125" style="195" customWidth="1"/>
    <col min="16130" max="16130" width="13.75" style="195" customWidth="1"/>
    <col min="16131" max="16131" width="14" style="195" customWidth="1"/>
    <col min="16132" max="16132" width="13" style="195" customWidth="1"/>
    <col min="16133" max="16133" width="14.875" style="195" customWidth="1"/>
    <col min="16134" max="16134" width="22.625" style="195" customWidth="1"/>
    <col min="16135" max="16138" width="9" style="195" hidden="1" customWidth="1"/>
    <col min="16139" max="16384" width="9" style="195"/>
  </cols>
  <sheetData>
    <row r="1" s="190" customFormat="1" ht="31.5" customHeight="1" spans="1:6">
      <c r="A1" s="196" t="s">
        <v>102</v>
      </c>
      <c r="B1" s="196"/>
      <c r="C1" s="196"/>
      <c r="D1" s="196"/>
      <c r="E1" s="196"/>
      <c r="F1" s="196"/>
    </row>
    <row r="2" s="199" customFormat="1" ht="21" customHeight="1" spans="1:6">
      <c r="A2" s="223" t="s">
        <v>103</v>
      </c>
      <c r="B2" s="198"/>
      <c r="C2" s="198"/>
      <c r="E2" s="200"/>
      <c r="F2" s="226" t="s">
        <v>2</v>
      </c>
    </row>
    <row r="3" s="221" customFormat="1" ht="33.75" customHeight="1" spans="1:7">
      <c r="A3" s="227" t="s">
        <v>3</v>
      </c>
      <c r="B3" s="268" t="s">
        <v>4</v>
      </c>
      <c r="C3" s="268" t="s">
        <v>5</v>
      </c>
      <c r="D3" s="227" t="s">
        <v>6</v>
      </c>
      <c r="E3" s="229" t="s">
        <v>7</v>
      </c>
      <c r="F3" s="205" t="s">
        <v>8</v>
      </c>
      <c r="G3" s="230" t="s">
        <v>9</v>
      </c>
    </row>
    <row r="4" s="221" customFormat="1" ht="21.75" customHeight="1" spans="1:7">
      <c r="A4" s="269" t="s">
        <v>10</v>
      </c>
      <c r="B4" s="270">
        <f>SUM(B5:B17)</f>
        <v>132500</v>
      </c>
      <c r="C4" s="270">
        <f>SUM(C5:C17)</f>
        <v>161442</v>
      </c>
      <c r="D4" s="233">
        <f>C4/B4</f>
        <v>1.21843018867925</v>
      </c>
      <c r="E4" s="234">
        <f>(C4-G4)/G4</f>
        <v>0.360347834879547</v>
      </c>
      <c r="F4" s="205"/>
      <c r="G4" s="271">
        <f>SUM(G5:G17)</f>
        <v>118677</v>
      </c>
    </row>
    <row r="5" s="223" customFormat="1" ht="21.75" customHeight="1" spans="1:7">
      <c r="A5" s="272" t="s">
        <v>11</v>
      </c>
      <c r="B5" s="273">
        <v>65700</v>
      </c>
      <c r="C5" s="273">
        <v>77012</v>
      </c>
      <c r="D5" s="233">
        <f t="shared" ref="D5:D26" si="0">C5/B5</f>
        <v>1.17217656012177</v>
      </c>
      <c r="E5" s="234">
        <f t="shared" ref="E5:E35" si="1">(C5-G5)/G5</f>
        <v>0.664476528053947</v>
      </c>
      <c r="F5" s="274"/>
      <c r="G5" s="275">
        <v>46268</v>
      </c>
    </row>
    <row r="6" s="223" customFormat="1" ht="21.75" customHeight="1" spans="1:7">
      <c r="A6" s="276" t="s">
        <v>12</v>
      </c>
      <c r="B6" s="273"/>
      <c r="C6" s="273">
        <v>-27</v>
      </c>
      <c r="D6" s="233"/>
      <c r="E6" s="234">
        <f t="shared" si="1"/>
        <v>-1.00429936305732</v>
      </c>
      <c r="F6" s="275"/>
      <c r="G6" s="275">
        <v>6280</v>
      </c>
    </row>
    <row r="7" s="223" customFormat="1" ht="21.75" customHeight="1" spans="1:7">
      <c r="A7" s="276" t="s">
        <v>13</v>
      </c>
      <c r="B7" s="273">
        <v>11299</v>
      </c>
      <c r="C7" s="273">
        <v>14397</v>
      </c>
      <c r="D7" s="233">
        <f t="shared" si="0"/>
        <v>1.27418355606691</v>
      </c>
      <c r="E7" s="234">
        <f t="shared" si="1"/>
        <v>0.691376879699248</v>
      </c>
      <c r="F7" s="275"/>
      <c r="G7" s="275">
        <v>8512</v>
      </c>
    </row>
    <row r="8" s="223" customFormat="1" ht="21.75" customHeight="1" spans="1:7">
      <c r="A8" s="276" t="s">
        <v>14</v>
      </c>
      <c r="B8" s="273">
        <v>1498</v>
      </c>
      <c r="C8" s="273">
        <v>2190</v>
      </c>
      <c r="D8" s="233">
        <f t="shared" si="0"/>
        <v>1.46194926568758</v>
      </c>
      <c r="E8" s="234">
        <f t="shared" si="1"/>
        <v>0.436065573770492</v>
      </c>
      <c r="F8" s="275"/>
      <c r="G8" s="275">
        <v>1525</v>
      </c>
    </row>
    <row r="9" s="223" customFormat="1" ht="21.75" customHeight="1" spans="1:7">
      <c r="A9" s="272" t="s">
        <v>15</v>
      </c>
      <c r="B9" s="273">
        <v>11653</v>
      </c>
      <c r="C9" s="273">
        <v>15796</v>
      </c>
      <c r="D9" s="233">
        <f t="shared" si="0"/>
        <v>1.35553076460997</v>
      </c>
      <c r="E9" s="234">
        <f t="shared" si="1"/>
        <v>0.301367605865876</v>
      </c>
      <c r="F9" s="275"/>
      <c r="G9" s="275">
        <v>12138</v>
      </c>
    </row>
    <row r="10" s="223" customFormat="1" ht="21.75" customHeight="1" spans="1:7">
      <c r="A10" s="272" t="s">
        <v>16</v>
      </c>
      <c r="B10" s="273">
        <v>11000</v>
      </c>
      <c r="C10" s="273">
        <v>17341</v>
      </c>
      <c r="D10" s="233">
        <f t="shared" si="0"/>
        <v>1.57645454545455</v>
      </c>
      <c r="E10" s="234">
        <f t="shared" si="1"/>
        <v>0.520740156099272</v>
      </c>
      <c r="F10" s="275"/>
      <c r="G10" s="275">
        <v>11403</v>
      </c>
    </row>
    <row r="11" s="223" customFormat="1" ht="21.75" customHeight="1" spans="1:7">
      <c r="A11" s="272" t="s">
        <v>17</v>
      </c>
      <c r="B11" s="273">
        <v>5000</v>
      </c>
      <c r="C11" s="273">
        <v>3916</v>
      </c>
      <c r="D11" s="233">
        <f t="shared" si="0"/>
        <v>0.7832</v>
      </c>
      <c r="E11" s="234">
        <f t="shared" si="1"/>
        <v>-0.268993839835729</v>
      </c>
      <c r="F11" s="275"/>
      <c r="G11" s="275">
        <v>5357</v>
      </c>
    </row>
    <row r="12" s="223" customFormat="1" ht="21.75" customHeight="1" spans="1:10">
      <c r="A12" s="272" t="s">
        <v>18</v>
      </c>
      <c r="B12" s="273">
        <v>2800</v>
      </c>
      <c r="C12" s="273">
        <v>5030</v>
      </c>
      <c r="D12" s="233">
        <f t="shared" si="0"/>
        <v>1.79642857142857</v>
      </c>
      <c r="E12" s="234">
        <f t="shared" si="1"/>
        <v>0.761821366024518</v>
      </c>
      <c r="F12" s="275"/>
      <c r="G12" s="275">
        <v>2855</v>
      </c>
      <c r="J12" s="223">
        <f>SUM(G10:G17)</f>
        <v>43954</v>
      </c>
    </row>
    <row r="13" s="223" customFormat="1" ht="21.75" customHeight="1" spans="1:10">
      <c r="A13" s="272" t="s">
        <v>19</v>
      </c>
      <c r="B13" s="273">
        <v>18000</v>
      </c>
      <c r="C13" s="273">
        <v>16965</v>
      </c>
      <c r="D13" s="233">
        <f t="shared" si="0"/>
        <v>0.9425</v>
      </c>
      <c r="E13" s="234">
        <f t="shared" si="1"/>
        <v>-0.0786400912398849</v>
      </c>
      <c r="F13" s="275"/>
      <c r="G13" s="275">
        <v>18413</v>
      </c>
      <c r="I13" s="223">
        <f>SUM(B10:B17)</f>
        <v>42350</v>
      </c>
      <c r="J13" s="223">
        <f>SUM(C10:C17)</f>
        <v>52074</v>
      </c>
    </row>
    <row r="14" s="223" customFormat="1" ht="21.75" customHeight="1" spans="1:7">
      <c r="A14" s="272" t="s">
        <v>20</v>
      </c>
      <c r="B14" s="273">
        <v>650</v>
      </c>
      <c r="C14" s="273">
        <v>551</v>
      </c>
      <c r="D14" s="233">
        <f t="shared" si="0"/>
        <v>0.847692307692308</v>
      </c>
      <c r="E14" s="234">
        <f t="shared" si="1"/>
        <v>-0.1390625</v>
      </c>
      <c r="F14" s="275"/>
      <c r="G14" s="275">
        <v>640</v>
      </c>
    </row>
    <row r="15" s="223" customFormat="1" ht="21.75" customHeight="1" spans="1:9">
      <c r="A15" s="272" t="s">
        <v>21</v>
      </c>
      <c r="B15" s="273">
        <v>2000</v>
      </c>
      <c r="C15" s="273">
        <v>2197</v>
      </c>
      <c r="D15" s="233">
        <f t="shared" si="0"/>
        <v>1.0985</v>
      </c>
      <c r="E15" s="234">
        <f t="shared" si="1"/>
        <v>-0.0112511251125113</v>
      </c>
      <c r="F15" s="275"/>
      <c r="G15" s="275">
        <v>2222</v>
      </c>
      <c r="I15" s="296">
        <f>J13/I13</f>
        <v>1.22961038961039</v>
      </c>
    </row>
    <row r="16" s="223" customFormat="1" ht="21.75" customHeight="1" spans="1:10">
      <c r="A16" s="272" t="s">
        <v>22</v>
      </c>
      <c r="B16" s="273">
        <v>900</v>
      </c>
      <c r="C16" s="273">
        <v>3984</v>
      </c>
      <c r="D16" s="233">
        <f t="shared" si="0"/>
        <v>4.42666666666667</v>
      </c>
      <c r="E16" s="234">
        <f t="shared" si="1"/>
        <v>3.00402010050251</v>
      </c>
      <c r="F16" s="275"/>
      <c r="G16" s="275">
        <v>995</v>
      </c>
      <c r="J16" s="296">
        <f>(J13-J12)/J13</f>
        <v>0.155931943004186</v>
      </c>
    </row>
    <row r="17" s="223" customFormat="1" ht="21.75" customHeight="1" spans="1:7">
      <c r="A17" s="272" t="s">
        <v>23</v>
      </c>
      <c r="B17" s="273">
        <v>2000</v>
      </c>
      <c r="C17" s="273">
        <v>2090</v>
      </c>
      <c r="D17" s="233">
        <f t="shared" si="0"/>
        <v>1.045</v>
      </c>
      <c r="E17" s="234">
        <f t="shared" si="1"/>
        <v>0.0101498308361527</v>
      </c>
      <c r="F17" s="275"/>
      <c r="G17" s="275">
        <v>2069</v>
      </c>
    </row>
    <row r="18" s="223" customFormat="1" ht="21.75" customHeight="1" spans="1:7">
      <c r="A18" s="272" t="s">
        <v>24</v>
      </c>
      <c r="B18" s="273">
        <f>SUM(B19:B25)</f>
        <v>37500</v>
      </c>
      <c r="C18" s="273">
        <f>SUM(C19:C25)</f>
        <v>48340</v>
      </c>
      <c r="D18" s="233">
        <f t="shared" si="0"/>
        <v>1.28906666666667</v>
      </c>
      <c r="E18" s="234">
        <f t="shared" si="1"/>
        <v>0.310311178575301</v>
      </c>
      <c r="F18" s="275"/>
      <c r="G18" s="277">
        <f>SUM(G19:G25)</f>
        <v>36892</v>
      </c>
    </row>
    <row r="19" s="223" customFormat="1" ht="21.75" customHeight="1" spans="1:7">
      <c r="A19" s="278" t="s">
        <v>25</v>
      </c>
      <c r="B19" s="279">
        <v>5600</v>
      </c>
      <c r="C19" s="279">
        <v>21019</v>
      </c>
      <c r="D19" s="280">
        <f t="shared" si="0"/>
        <v>3.75339285714286</v>
      </c>
      <c r="E19" s="281">
        <f t="shared" si="1"/>
        <v>0.540191983586136</v>
      </c>
      <c r="F19" s="282"/>
      <c r="G19" s="275">
        <v>13647</v>
      </c>
    </row>
    <row r="20" s="223" customFormat="1" ht="21.75" customHeight="1" spans="1:7">
      <c r="A20" s="283" t="s">
        <v>26</v>
      </c>
      <c r="B20" s="284">
        <v>5000</v>
      </c>
      <c r="C20" s="284">
        <v>5117</v>
      </c>
      <c r="D20" s="209">
        <f t="shared" si="0"/>
        <v>1.0234</v>
      </c>
      <c r="E20" s="209">
        <f t="shared" si="1"/>
        <v>0.135849056603774</v>
      </c>
      <c r="F20" s="285"/>
      <c r="G20" s="286">
        <v>4505</v>
      </c>
    </row>
    <row r="21" s="223" customFormat="1" ht="21.75" customHeight="1" spans="1:10">
      <c r="A21" s="287" t="s">
        <v>27</v>
      </c>
      <c r="B21" s="284">
        <v>5000</v>
      </c>
      <c r="C21" s="284">
        <v>4460</v>
      </c>
      <c r="D21" s="209">
        <f t="shared" si="0"/>
        <v>0.892</v>
      </c>
      <c r="E21" s="209">
        <f t="shared" si="1"/>
        <v>0.023405231757687</v>
      </c>
      <c r="F21" s="285"/>
      <c r="G21" s="286">
        <v>4358</v>
      </c>
      <c r="I21" s="223">
        <f>G25+G24+G23</f>
        <v>8918</v>
      </c>
      <c r="J21" s="296">
        <f>(I22-I21)/I21</f>
        <v>-0.336286162816775</v>
      </c>
    </row>
    <row r="22" s="223" customFormat="1" ht="21.75" customHeight="1" spans="1:10">
      <c r="A22" s="283" t="s">
        <v>28</v>
      </c>
      <c r="B22" s="284">
        <v>10000</v>
      </c>
      <c r="C22" s="284">
        <v>11825</v>
      </c>
      <c r="D22" s="209">
        <f t="shared" si="0"/>
        <v>1.1825</v>
      </c>
      <c r="E22" s="209">
        <f t="shared" si="1"/>
        <v>1.1641654465593</v>
      </c>
      <c r="F22" s="285"/>
      <c r="G22" s="286">
        <v>5464</v>
      </c>
      <c r="H22" s="223">
        <f>B23+B24+B25</f>
        <v>11900</v>
      </c>
      <c r="I22" s="223">
        <f>C23+C24+C25</f>
        <v>5919</v>
      </c>
      <c r="J22" s="296">
        <f>I22/H22</f>
        <v>0.497394957983193</v>
      </c>
    </row>
    <row r="23" s="223" customFormat="1" ht="21.75" customHeight="1" spans="1:7">
      <c r="A23" s="283" t="s">
        <v>29</v>
      </c>
      <c r="B23" s="284"/>
      <c r="C23" s="284">
        <v>4823</v>
      </c>
      <c r="D23" s="209"/>
      <c r="E23" s="209">
        <f t="shared" si="1"/>
        <v>-0.372903393576908</v>
      </c>
      <c r="F23" s="285"/>
      <c r="G23" s="288">
        <v>7691</v>
      </c>
    </row>
    <row r="24" s="223" customFormat="1" ht="21.75" customHeight="1" spans="1:7">
      <c r="A24" s="278" t="s">
        <v>30</v>
      </c>
      <c r="B24" s="289">
        <v>740</v>
      </c>
      <c r="C24" s="289">
        <v>856</v>
      </c>
      <c r="D24" s="290">
        <f t="shared" si="0"/>
        <v>1.15675675675676</v>
      </c>
      <c r="E24" s="291">
        <f t="shared" si="1"/>
        <v>0.0918367346938776</v>
      </c>
      <c r="F24" s="274"/>
      <c r="G24" s="282">
        <v>784</v>
      </c>
    </row>
    <row r="25" s="223" customFormat="1" ht="21.75" customHeight="1" spans="1:7">
      <c r="A25" s="292" t="s">
        <v>31</v>
      </c>
      <c r="B25" s="279">
        <v>11160</v>
      </c>
      <c r="C25" s="279">
        <v>240</v>
      </c>
      <c r="D25" s="233">
        <f t="shared" si="0"/>
        <v>0.021505376344086</v>
      </c>
      <c r="E25" s="234">
        <f t="shared" si="1"/>
        <v>-0.45823927765237</v>
      </c>
      <c r="F25" s="275"/>
      <c r="G25" s="282">
        <v>443</v>
      </c>
    </row>
    <row r="26" s="223" customFormat="1" ht="21.75" customHeight="1" spans="1:7">
      <c r="A26" s="293" t="s">
        <v>32</v>
      </c>
      <c r="B26" s="273">
        <f>B4+B18</f>
        <v>170000</v>
      </c>
      <c r="C26" s="273">
        <f>C4+C18</f>
        <v>209782</v>
      </c>
      <c r="D26" s="233">
        <f t="shared" si="0"/>
        <v>1.23401176470588</v>
      </c>
      <c r="E26" s="234">
        <f t="shared" si="1"/>
        <v>0.348482024053635</v>
      </c>
      <c r="F26" s="275"/>
      <c r="G26" s="275">
        <f>G4+G18</f>
        <v>155569</v>
      </c>
    </row>
    <row r="27" s="223" customFormat="1" ht="21.95" customHeight="1" spans="1:7">
      <c r="A27" s="294" t="s">
        <v>33</v>
      </c>
      <c r="B27" s="273"/>
      <c r="C27" s="273">
        <f>SUM(C28:C34)</f>
        <v>139707</v>
      </c>
      <c r="D27" s="233"/>
      <c r="E27" s="234">
        <f t="shared" si="1"/>
        <v>-0.603554493627962</v>
      </c>
      <c r="F27" s="275"/>
      <c r="G27" s="275">
        <f>SUM(G28:G33)</f>
        <v>352399</v>
      </c>
    </row>
    <row r="28" s="221" customFormat="1" ht="21.95" customHeight="1" spans="1:7">
      <c r="A28" s="231" t="s">
        <v>34</v>
      </c>
      <c r="B28" s="232"/>
      <c r="C28" s="232">
        <v>-13929</v>
      </c>
      <c r="D28" s="233"/>
      <c r="E28" s="234">
        <f t="shared" si="1"/>
        <v>0.230368342019256</v>
      </c>
      <c r="F28" s="235"/>
      <c r="G28" s="231">
        <v>-11321</v>
      </c>
    </row>
    <row r="29" s="221" customFormat="1" ht="21.95" customHeight="1" spans="1:10">
      <c r="A29" s="231" t="s">
        <v>35</v>
      </c>
      <c r="B29" s="232"/>
      <c r="C29" s="232">
        <v>57072</v>
      </c>
      <c r="D29" s="233"/>
      <c r="E29" s="234">
        <f t="shared" si="1"/>
        <v>-0.182290995056953</v>
      </c>
      <c r="F29" s="235"/>
      <c r="G29" s="231">
        <v>69795</v>
      </c>
      <c r="H29" s="221">
        <f>G29+G30</f>
        <v>114076</v>
      </c>
      <c r="I29" s="221">
        <f>C29+C30</f>
        <v>107975</v>
      </c>
      <c r="J29" s="297">
        <f>(I29-H29)/H29</f>
        <v>-0.0534818892668046</v>
      </c>
    </row>
    <row r="30" s="221" customFormat="1" ht="21.95" customHeight="1" spans="1:7">
      <c r="A30" s="231" t="s">
        <v>36</v>
      </c>
      <c r="B30" s="232"/>
      <c r="C30" s="232">
        <v>50903</v>
      </c>
      <c r="D30" s="233"/>
      <c r="E30" s="234">
        <f t="shared" si="1"/>
        <v>0.14954495155936</v>
      </c>
      <c r="F30" s="235"/>
      <c r="G30" s="231">
        <v>44281</v>
      </c>
    </row>
    <row r="31" s="221" customFormat="1" ht="21.95" customHeight="1" spans="1:7">
      <c r="A31" s="231" t="s">
        <v>37</v>
      </c>
      <c r="B31" s="232"/>
      <c r="C31" s="232">
        <v>17316</v>
      </c>
      <c r="D31" s="233"/>
      <c r="E31" s="234">
        <f t="shared" si="1"/>
        <v>-0.920612142912814</v>
      </c>
      <c r="F31" s="235"/>
      <c r="G31" s="231">
        <v>218119</v>
      </c>
    </row>
    <row r="32" s="221" customFormat="1" ht="21.95" customHeight="1" spans="1:7">
      <c r="A32" s="231" t="s">
        <v>38</v>
      </c>
      <c r="B32" s="232"/>
      <c r="C32" s="232">
        <v>8788</v>
      </c>
      <c r="D32" s="233"/>
      <c r="E32" s="234">
        <f t="shared" si="1"/>
        <v>-0.477091514935142</v>
      </c>
      <c r="F32" s="235"/>
      <c r="G32" s="231">
        <v>16806</v>
      </c>
    </row>
    <row r="33" s="221" customFormat="1" ht="21.95" customHeight="1" spans="1:7">
      <c r="A33" s="57" t="s">
        <v>39</v>
      </c>
      <c r="B33" s="232"/>
      <c r="C33" s="232">
        <v>18637</v>
      </c>
      <c r="D33" s="233"/>
      <c r="E33" s="234">
        <f t="shared" si="1"/>
        <v>0.266186561587064</v>
      </c>
      <c r="F33" s="235"/>
      <c r="G33" s="231">
        <v>14719</v>
      </c>
    </row>
    <row r="34" s="221" customFormat="1" ht="21.95" customHeight="1" spans="1:7">
      <c r="A34" s="57" t="s">
        <v>40</v>
      </c>
      <c r="B34" s="232"/>
      <c r="C34" s="232">
        <v>920</v>
      </c>
      <c r="D34" s="233"/>
      <c r="E34" s="234"/>
      <c r="F34" s="235"/>
      <c r="G34" s="231"/>
    </row>
    <row r="35" s="221" customFormat="1" ht="21.95" customHeight="1" spans="1:7">
      <c r="A35" s="295" t="s">
        <v>41</v>
      </c>
      <c r="B35" s="232"/>
      <c r="C35" s="232">
        <f>C27+C26</f>
        <v>349489</v>
      </c>
      <c r="D35" s="233"/>
      <c r="E35" s="234">
        <f t="shared" si="1"/>
        <v>-0.311986188106337</v>
      </c>
      <c r="F35" s="235"/>
      <c r="G35" s="231">
        <f>G26+G27</f>
        <v>507968</v>
      </c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orientation="landscape"/>
  <headerFooter alignWithMargins="0">
    <evenFooter>&amp;C-2-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5"/>
  <sheetViews>
    <sheetView showZeros="0" view="pageBreakPreview" zoomScaleNormal="85" workbookViewId="0">
      <pane xSplit="1" ySplit="3" topLeftCell="B525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 outlineLevelCol="6"/>
  <cols>
    <col min="1" max="1" width="46.75" style="222" customWidth="1"/>
    <col min="2" max="2" width="16.625" style="222" customWidth="1"/>
    <col min="3" max="3" width="12.625" style="222" customWidth="1"/>
    <col min="4" max="4" width="14.625" style="222" customWidth="1"/>
    <col min="5" max="5" width="16.625" style="222" customWidth="1"/>
    <col min="6" max="6" width="11.5" style="222" customWidth="1"/>
    <col min="7" max="7" width="9.125" style="222" hidden="1" customWidth="1"/>
    <col min="8" max="256" width="9" style="222"/>
    <col min="257" max="257" width="46.75" style="222" customWidth="1"/>
    <col min="258" max="258" width="16.625" style="222" customWidth="1"/>
    <col min="259" max="259" width="12.625" style="222" customWidth="1"/>
    <col min="260" max="260" width="14.625" style="222" customWidth="1"/>
    <col min="261" max="261" width="16.625" style="222" customWidth="1"/>
    <col min="262" max="262" width="11.5" style="222" customWidth="1"/>
    <col min="263" max="263" width="9" style="222" hidden="1" customWidth="1"/>
    <col min="264" max="512" width="9" style="222"/>
    <col min="513" max="513" width="46.75" style="222" customWidth="1"/>
    <col min="514" max="514" width="16.625" style="222" customWidth="1"/>
    <col min="515" max="515" width="12.625" style="222" customWidth="1"/>
    <col min="516" max="516" width="14.625" style="222" customWidth="1"/>
    <col min="517" max="517" width="16.625" style="222" customWidth="1"/>
    <col min="518" max="518" width="11.5" style="222" customWidth="1"/>
    <col min="519" max="519" width="9" style="222" hidden="1" customWidth="1"/>
    <col min="520" max="768" width="9" style="222"/>
    <col min="769" max="769" width="46.75" style="222" customWidth="1"/>
    <col min="770" max="770" width="16.625" style="222" customWidth="1"/>
    <col min="771" max="771" width="12.625" style="222" customWidth="1"/>
    <col min="772" max="772" width="14.625" style="222" customWidth="1"/>
    <col min="773" max="773" width="16.625" style="222" customWidth="1"/>
    <col min="774" max="774" width="11.5" style="222" customWidth="1"/>
    <col min="775" max="775" width="9" style="222" hidden="1" customWidth="1"/>
    <col min="776" max="1024" width="9" style="222"/>
    <col min="1025" max="1025" width="46.75" style="222" customWidth="1"/>
    <col min="1026" max="1026" width="16.625" style="222" customWidth="1"/>
    <col min="1027" max="1027" width="12.625" style="222" customWidth="1"/>
    <col min="1028" max="1028" width="14.625" style="222" customWidth="1"/>
    <col min="1029" max="1029" width="16.625" style="222" customWidth="1"/>
    <col min="1030" max="1030" width="11.5" style="222" customWidth="1"/>
    <col min="1031" max="1031" width="9" style="222" hidden="1" customWidth="1"/>
    <col min="1032" max="1280" width="9" style="222"/>
    <col min="1281" max="1281" width="46.75" style="222" customWidth="1"/>
    <col min="1282" max="1282" width="16.625" style="222" customWidth="1"/>
    <col min="1283" max="1283" width="12.625" style="222" customWidth="1"/>
    <col min="1284" max="1284" width="14.625" style="222" customWidth="1"/>
    <col min="1285" max="1285" width="16.625" style="222" customWidth="1"/>
    <col min="1286" max="1286" width="11.5" style="222" customWidth="1"/>
    <col min="1287" max="1287" width="9" style="222" hidden="1" customWidth="1"/>
    <col min="1288" max="1536" width="9" style="222"/>
    <col min="1537" max="1537" width="46.75" style="222" customWidth="1"/>
    <col min="1538" max="1538" width="16.625" style="222" customWidth="1"/>
    <col min="1539" max="1539" width="12.625" style="222" customWidth="1"/>
    <col min="1540" max="1540" width="14.625" style="222" customWidth="1"/>
    <col min="1541" max="1541" width="16.625" style="222" customWidth="1"/>
    <col min="1542" max="1542" width="11.5" style="222" customWidth="1"/>
    <col min="1543" max="1543" width="9" style="222" hidden="1" customWidth="1"/>
    <col min="1544" max="1792" width="9" style="222"/>
    <col min="1793" max="1793" width="46.75" style="222" customWidth="1"/>
    <col min="1794" max="1794" width="16.625" style="222" customWidth="1"/>
    <col min="1795" max="1795" width="12.625" style="222" customWidth="1"/>
    <col min="1796" max="1796" width="14.625" style="222" customWidth="1"/>
    <col min="1797" max="1797" width="16.625" style="222" customWidth="1"/>
    <col min="1798" max="1798" width="11.5" style="222" customWidth="1"/>
    <col min="1799" max="1799" width="9" style="222" hidden="1" customWidth="1"/>
    <col min="1800" max="2048" width="9" style="222"/>
    <col min="2049" max="2049" width="46.75" style="222" customWidth="1"/>
    <col min="2050" max="2050" width="16.625" style="222" customWidth="1"/>
    <col min="2051" max="2051" width="12.625" style="222" customWidth="1"/>
    <col min="2052" max="2052" width="14.625" style="222" customWidth="1"/>
    <col min="2053" max="2053" width="16.625" style="222" customWidth="1"/>
    <col min="2054" max="2054" width="11.5" style="222" customWidth="1"/>
    <col min="2055" max="2055" width="9" style="222" hidden="1" customWidth="1"/>
    <col min="2056" max="2304" width="9" style="222"/>
    <col min="2305" max="2305" width="46.75" style="222" customWidth="1"/>
    <col min="2306" max="2306" width="16.625" style="222" customWidth="1"/>
    <col min="2307" max="2307" width="12.625" style="222" customWidth="1"/>
    <col min="2308" max="2308" width="14.625" style="222" customWidth="1"/>
    <col min="2309" max="2309" width="16.625" style="222" customWidth="1"/>
    <col min="2310" max="2310" width="11.5" style="222" customWidth="1"/>
    <col min="2311" max="2311" width="9" style="222" hidden="1" customWidth="1"/>
    <col min="2312" max="2560" width="9" style="222"/>
    <col min="2561" max="2561" width="46.75" style="222" customWidth="1"/>
    <col min="2562" max="2562" width="16.625" style="222" customWidth="1"/>
    <col min="2563" max="2563" width="12.625" style="222" customWidth="1"/>
    <col min="2564" max="2564" width="14.625" style="222" customWidth="1"/>
    <col min="2565" max="2565" width="16.625" style="222" customWidth="1"/>
    <col min="2566" max="2566" width="11.5" style="222" customWidth="1"/>
    <col min="2567" max="2567" width="9" style="222" hidden="1" customWidth="1"/>
    <col min="2568" max="2816" width="9" style="222"/>
    <col min="2817" max="2817" width="46.75" style="222" customWidth="1"/>
    <col min="2818" max="2818" width="16.625" style="222" customWidth="1"/>
    <col min="2819" max="2819" width="12.625" style="222" customWidth="1"/>
    <col min="2820" max="2820" width="14.625" style="222" customWidth="1"/>
    <col min="2821" max="2821" width="16.625" style="222" customWidth="1"/>
    <col min="2822" max="2822" width="11.5" style="222" customWidth="1"/>
    <col min="2823" max="2823" width="9" style="222" hidden="1" customWidth="1"/>
    <col min="2824" max="3072" width="9" style="222"/>
    <col min="3073" max="3073" width="46.75" style="222" customWidth="1"/>
    <col min="3074" max="3074" width="16.625" style="222" customWidth="1"/>
    <col min="3075" max="3075" width="12.625" style="222" customWidth="1"/>
    <col min="3076" max="3076" width="14.625" style="222" customWidth="1"/>
    <col min="3077" max="3077" width="16.625" style="222" customWidth="1"/>
    <col min="3078" max="3078" width="11.5" style="222" customWidth="1"/>
    <col min="3079" max="3079" width="9" style="222" hidden="1" customWidth="1"/>
    <col min="3080" max="3328" width="9" style="222"/>
    <col min="3329" max="3329" width="46.75" style="222" customWidth="1"/>
    <col min="3330" max="3330" width="16.625" style="222" customWidth="1"/>
    <col min="3331" max="3331" width="12.625" style="222" customWidth="1"/>
    <col min="3332" max="3332" width="14.625" style="222" customWidth="1"/>
    <col min="3333" max="3333" width="16.625" style="222" customWidth="1"/>
    <col min="3334" max="3334" width="11.5" style="222" customWidth="1"/>
    <col min="3335" max="3335" width="9" style="222" hidden="1" customWidth="1"/>
    <col min="3336" max="3584" width="9" style="222"/>
    <col min="3585" max="3585" width="46.75" style="222" customWidth="1"/>
    <col min="3586" max="3586" width="16.625" style="222" customWidth="1"/>
    <col min="3587" max="3587" width="12.625" style="222" customWidth="1"/>
    <col min="3588" max="3588" width="14.625" style="222" customWidth="1"/>
    <col min="3589" max="3589" width="16.625" style="222" customWidth="1"/>
    <col min="3590" max="3590" width="11.5" style="222" customWidth="1"/>
    <col min="3591" max="3591" width="9" style="222" hidden="1" customWidth="1"/>
    <col min="3592" max="3840" width="9" style="222"/>
    <col min="3841" max="3841" width="46.75" style="222" customWidth="1"/>
    <col min="3842" max="3842" width="16.625" style="222" customWidth="1"/>
    <col min="3843" max="3843" width="12.625" style="222" customWidth="1"/>
    <col min="3844" max="3844" width="14.625" style="222" customWidth="1"/>
    <col min="3845" max="3845" width="16.625" style="222" customWidth="1"/>
    <col min="3846" max="3846" width="11.5" style="222" customWidth="1"/>
    <col min="3847" max="3847" width="9" style="222" hidden="1" customWidth="1"/>
    <col min="3848" max="4096" width="9" style="222"/>
    <col min="4097" max="4097" width="46.75" style="222" customWidth="1"/>
    <col min="4098" max="4098" width="16.625" style="222" customWidth="1"/>
    <col min="4099" max="4099" width="12.625" style="222" customWidth="1"/>
    <col min="4100" max="4100" width="14.625" style="222" customWidth="1"/>
    <col min="4101" max="4101" width="16.625" style="222" customWidth="1"/>
    <col min="4102" max="4102" width="11.5" style="222" customWidth="1"/>
    <col min="4103" max="4103" width="9" style="222" hidden="1" customWidth="1"/>
    <col min="4104" max="4352" width="9" style="222"/>
    <col min="4353" max="4353" width="46.75" style="222" customWidth="1"/>
    <col min="4354" max="4354" width="16.625" style="222" customWidth="1"/>
    <col min="4355" max="4355" width="12.625" style="222" customWidth="1"/>
    <col min="4356" max="4356" width="14.625" style="222" customWidth="1"/>
    <col min="4357" max="4357" width="16.625" style="222" customWidth="1"/>
    <col min="4358" max="4358" width="11.5" style="222" customWidth="1"/>
    <col min="4359" max="4359" width="9" style="222" hidden="1" customWidth="1"/>
    <col min="4360" max="4608" width="9" style="222"/>
    <col min="4609" max="4609" width="46.75" style="222" customWidth="1"/>
    <col min="4610" max="4610" width="16.625" style="222" customWidth="1"/>
    <col min="4611" max="4611" width="12.625" style="222" customWidth="1"/>
    <col min="4612" max="4612" width="14.625" style="222" customWidth="1"/>
    <col min="4613" max="4613" width="16.625" style="222" customWidth="1"/>
    <col min="4614" max="4614" width="11.5" style="222" customWidth="1"/>
    <col min="4615" max="4615" width="9" style="222" hidden="1" customWidth="1"/>
    <col min="4616" max="4864" width="9" style="222"/>
    <col min="4865" max="4865" width="46.75" style="222" customWidth="1"/>
    <col min="4866" max="4866" width="16.625" style="222" customWidth="1"/>
    <col min="4867" max="4867" width="12.625" style="222" customWidth="1"/>
    <col min="4868" max="4868" width="14.625" style="222" customWidth="1"/>
    <col min="4869" max="4869" width="16.625" style="222" customWidth="1"/>
    <col min="4870" max="4870" width="11.5" style="222" customWidth="1"/>
    <col min="4871" max="4871" width="9" style="222" hidden="1" customWidth="1"/>
    <col min="4872" max="5120" width="9" style="222"/>
    <col min="5121" max="5121" width="46.75" style="222" customWidth="1"/>
    <col min="5122" max="5122" width="16.625" style="222" customWidth="1"/>
    <col min="5123" max="5123" width="12.625" style="222" customWidth="1"/>
    <col min="5124" max="5124" width="14.625" style="222" customWidth="1"/>
    <col min="5125" max="5125" width="16.625" style="222" customWidth="1"/>
    <col min="5126" max="5126" width="11.5" style="222" customWidth="1"/>
    <col min="5127" max="5127" width="9" style="222" hidden="1" customWidth="1"/>
    <col min="5128" max="5376" width="9" style="222"/>
    <col min="5377" max="5377" width="46.75" style="222" customWidth="1"/>
    <col min="5378" max="5378" width="16.625" style="222" customWidth="1"/>
    <col min="5379" max="5379" width="12.625" style="222" customWidth="1"/>
    <col min="5380" max="5380" width="14.625" style="222" customWidth="1"/>
    <col min="5381" max="5381" width="16.625" style="222" customWidth="1"/>
    <col min="5382" max="5382" width="11.5" style="222" customWidth="1"/>
    <col min="5383" max="5383" width="9" style="222" hidden="1" customWidth="1"/>
    <col min="5384" max="5632" width="9" style="222"/>
    <col min="5633" max="5633" width="46.75" style="222" customWidth="1"/>
    <col min="5634" max="5634" width="16.625" style="222" customWidth="1"/>
    <col min="5635" max="5635" width="12.625" style="222" customWidth="1"/>
    <col min="5636" max="5636" width="14.625" style="222" customWidth="1"/>
    <col min="5637" max="5637" width="16.625" style="222" customWidth="1"/>
    <col min="5638" max="5638" width="11.5" style="222" customWidth="1"/>
    <col min="5639" max="5639" width="9" style="222" hidden="1" customWidth="1"/>
    <col min="5640" max="5888" width="9" style="222"/>
    <col min="5889" max="5889" width="46.75" style="222" customWidth="1"/>
    <col min="5890" max="5890" width="16.625" style="222" customWidth="1"/>
    <col min="5891" max="5891" width="12.625" style="222" customWidth="1"/>
    <col min="5892" max="5892" width="14.625" style="222" customWidth="1"/>
    <col min="5893" max="5893" width="16.625" style="222" customWidth="1"/>
    <col min="5894" max="5894" width="11.5" style="222" customWidth="1"/>
    <col min="5895" max="5895" width="9" style="222" hidden="1" customWidth="1"/>
    <col min="5896" max="6144" width="9" style="222"/>
    <col min="6145" max="6145" width="46.75" style="222" customWidth="1"/>
    <col min="6146" max="6146" width="16.625" style="222" customWidth="1"/>
    <col min="6147" max="6147" width="12.625" style="222" customWidth="1"/>
    <col min="6148" max="6148" width="14.625" style="222" customWidth="1"/>
    <col min="6149" max="6149" width="16.625" style="222" customWidth="1"/>
    <col min="6150" max="6150" width="11.5" style="222" customWidth="1"/>
    <col min="6151" max="6151" width="9" style="222" hidden="1" customWidth="1"/>
    <col min="6152" max="6400" width="9" style="222"/>
    <col min="6401" max="6401" width="46.75" style="222" customWidth="1"/>
    <col min="6402" max="6402" width="16.625" style="222" customWidth="1"/>
    <col min="6403" max="6403" width="12.625" style="222" customWidth="1"/>
    <col min="6404" max="6404" width="14.625" style="222" customWidth="1"/>
    <col min="6405" max="6405" width="16.625" style="222" customWidth="1"/>
    <col min="6406" max="6406" width="11.5" style="222" customWidth="1"/>
    <col min="6407" max="6407" width="9" style="222" hidden="1" customWidth="1"/>
    <col min="6408" max="6656" width="9" style="222"/>
    <col min="6657" max="6657" width="46.75" style="222" customWidth="1"/>
    <col min="6658" max="6658" width="16.625" style="222" customWidth="1"/>
    <col min="6659" max="6659" width="12.625" style="222" customWidth="1"/>
    <col min="6660" max="6660" width="14.625" style="222" customWidth="1"/>
    <col min="6661" max="6661" width="16.625" style="222" customWidth="1"/>
    <col min="6662" max="6662" width="11.5" style="222" customWidth="1"/>
    <col min="6663" max="6663" width="9" style="222" hidden="1" customWidth="1"/>
    <col min="6664" max="6912" width="9" style="222"/>
    <col min="6913" max="6913" width="46.75" style="222" customWidth="1"/>
    <col min="6914" max="6914" width="16.625" style="222" customWidth="1"/>
    <col min="6915" max="6915" width="12.625" style="222" customWidth="1"/>
    <col min="6916" max="6916" width="14.625" style="222" customWidth="1"/>
    <col min="6917" max="6917" width="16.625" style="222" customWidth="1"/>
    <col min="6918" max="6918" width="11.5" style="222" customWidth="1"/>
    <col min="6919" max="6919" width="9" style="222" hidden="1" customWidth="1"/>
    <col min="6920" max="7168" width="9" style="222"/>
    <col min="7169" max="7169" width="46.75" style="222" customWidth="1"/>
    <col min="7170" max="7170" width="16.625" style="222" customWidth="1"/>
    <col min="7171" max="7171" width="12.625" style="222" customWidth="1"/>
    <col min="7172" max="7172" width="14.625" style="222" customWidth="1"/>
    <col min="7173" max="7173" width="16.625" style="222" customWidth="1"/>
    <col min="7174" max="7174" width="11.5" style="222" customWidth="1"/>
    <col min="7175" max="7175" width="9" style="222" hidden="1" customWidth="1"/>
    <col min="7176" max="7424" width="9" style="222"/>
    <col min="7425" max="7425" width="46.75" style="222" customWidth="1"/>
    <col min="7426" max="7426" width="16.625" style="222" customWidth="1"/>
    <col min="7427" max="7427" width="12.625" style="222" customWidth="1"/>
    <col min="7428" max="7428" width="14.625" style="222" customWidth="1"/>
    <col min="7429" max="7429" width="16.625" style="222" customWidth="1"/>
    <col min="7430" max="7430" width="11.5" style="222" customWidth="1"/>
    <col min="7431" max="7431" width="9" style="222" hidden="1" customWidth="1"/>
    <col min="7432" max="7680" width="9" style="222"/>
    <col min="7681" max="7681" width="46.75" style="222" customWidth="1"/>
    <col min="7682" max="7682" width="16.625" style="222" customWidth="1"/>
    <col min="7683" max="7683" width="12.625" style="222" customWidth="1"/>
    <col min="7684" max="7684" width="14.625" style="222" customWidth="1"/>
    <col min="7685" max="7685" width="16.625" style="222" customWidth="1"/>
    <col min="7686" max="7686" width="11.5" style="222" customWidth="1"/>
    <col min="7687" max="7687" width="9" style="222" hidden="1" customWidth="1"/>
    <col min="7688" max="7936" width="9" style="222"/>
    <col min="7937" max="7937" width="46.75" style="222" customWidth="1"/>
    <col min="7938" max="7938" width="16.625" style="222" customWidth="1"/>
    <col min="7939" max="7939" width="12.625" style="222" customWidth="1"/>
    <col min="7940" max="7940" width="14.625" style="222" customWidth="1"/>
    <col min="7941" max="7941" width="16.625" style="222" customWidth="1"/>
    <col min="7942" max="7942" width="11.5" style="222" customWidth="1"/>
    <col min="7943" max="7943" width="9" style="222" hidden="1" customWidth="1"/>
    <col min="7944" max="8192" width="9" style="222"/>
    <col min="8193" max="8193" width="46.75" style="222" customWidth="1"/>
    <col min="8194" max="8194" width="16.625" style="222" customWidth="1"/>
    <col min="8195" max="8195" width="12.625" style="222" customWidth="1"/>
    <col min="8196" max="8196" width="14.625" style="222" customWidth="1"/>
    <col min="8197" max="8197" width="16.625" style="222" customWidth="1"/>
    <col min="8198" max="8198" width="11.5" style="222" customWidth="1"/>
    <col min="8199" max="8199" width="9" style="222" hidden="1" customWidth="1"/>
    <col min="8200" max="8448" width="9" style="222"/>
    <col min="8449" max="8449" width="46.75" style="222" customWidth="1"/>
    <col min="8450" max="8450" width="16.625" style="222" customWidth="1"/>
    <col min="8451" max="8451" width="12.625" style="222" customWidth="1"/>
    <col min="8452" max="8452" width="14.625" style="222" customWidth="1"/>
    <col min="8453" max="8453" width="16.625" style="222" customWidth="1"/>
    <col min="8454" max="8454" width="11.5" style="222" customWidth="1"/>
    <col min="8455" max="8455" width="9" style="222" hidden="1" customWidth="1"/>
    <col min="8456" max="8704" width="9" style="222"/>
    <col min="8705" max="8705" width="46.75" style="222" customWidth="1"/>
    <col min="8706" max="8706" width="16.625" style="222" customWidth="1"/>
    <col min="8707" max="8707" width="12.625" style="222" customWidth="1"/>
    <col min="8708" max="8708" width="14.625" style="222" customWidth="1"/>
    <col min="8709" max="8709" width="16.625" style="222" customWidth="1"/>
    <col min="8710" max="8710" width="11.5" style="222" customWidth="1"/>
    <col min="8711" max="8711" width="9" style="222" hidden="1" customWidth="1"/>
    <col min="8712" max="8960" width="9" style="222"/>
    <col min="8961" max="8961" width="46.75" style="222" customWidth="1"/>
    <col min="8962" max="8962" width="16.625" style="222" customWidth="1"/>
    <col min="8963" max="8963" width="12.625" style="222" customWidth="1"/>
    <col min="8964" max="8964" width="14.625" style="222" customWidth="1"/>
    <col min="8965" max="8965" width="16.625" style="222" customWidth="1"/>
    <col min="8966" max="8966" width="11.5" style="222" customWidth="1"/>
    <col min="8967" max="8967" width="9" style="222" hidden="1" customWidth="1"/>
    <col min="8968" max="9216" width="9" style="222"/>
    <col min="9217" max="9217" width="46.75" style="222" customWidth="1"/>
    <col min="9218" max="9218" width="16.625" style="222" customWidth="1"/>
    <col min="9219" max="9219" width="12.625" style="222" customWidth="1"/>
    <col min="9220" max="9220" width="14.625" style="222" customWidth="1"/>
    <col min="9221" max="9221" width="16.625" style="222" customWidth="1"/>
    <col min="9222" max="9222" width="11.5" style="222" customWidth="1"/>
    <col min="9223" max="9223" width="9" style="222" hidden="1" customWidth="1"/>
    <col min="9224" max="9472" width="9" style="222"/>
    <col min="9473" max="9473" width="46.75" style="222" customWidth="1"/>
    <col min="9474" max="9474" width="16.625" style="222" customWidth="1"/>
    <col min="9475" max="9475" width="12.625" style="222" customWidth="1"/>
    <col min="9476" max="9476" width="14.625" style="222" customWidth="1"/>
    <col min="9477" max="9477" width="16.625" style="222" customWidth="1"/>
    <col min="9478" max="9478" width="11.5" style="222" customWidth="1"/>
    <col min="9479" max="9479" width="9" style="222" hidden="1" customWidth="1"/>
    <col min="9480" max="9728" width="9" style="222"/>
    <col min="9729" max="9729" width="46.75" style="222" customWidth="1"/>
    <col min="9730" max="9730" width="16.625" style="222" customWidth="1"/>
    <col min="9731" max="9731" width="12.625" style="222" customWidth="1"/>
    <col min="9732" max="9732" width="14.625" style="222" customWidth="1"/>
    <col min="9733" max="9733" width="16.625" style="222" customWidth="1"/>
    <col min="9734" max="9734" width="11.5" style="222" customWidth="1"/>
    <col min="9735" max="9735" width="9" style="222" hidden="1" customWidth="1"/>
    <col min="9736" max="9984" width="9" style="222"/>
    <col min="9985" max="9985" width="46.75" style="222" customWidth="1"/>
    <col min="9986" max="9986" width="16.625" style="222" customWidth="1"/>
    <col min="9987" max="9987" width="12.625" style="222" customWidth="1"/>
    <col min="9988" max="9988" width="14.625" style="222" customWidth="1"/>
    <col min="9989" max="9989" width="16.625" style="222" customWidth="1"/>
    <col min="9990" max="9990" width="11.5" style="222" customWidth="1"/>
    <col min="9991" max="9991" width="9" style="222" hidden="1" customWidth="1"/>
    <col min="9992" max="10240" width="9" style="222"/>
    <col min="10241" max="10241" width="46.75" style="222" customWidth="1"/>
    <col min="10242" max="10242" width="16.625" style="222" customWidth="1"/>
    <col min="10243" max="10243" width="12.625" style="222" customWidth="1"/>
    <col min="10244" max="10244" width="14.625" style="222" customWidth="1"/>
    <col min="10245" max="10245" width="16.625" style="222" customWidth="1"/>
    <col min="10246" max="10246" width="11.5" style="222" customWidth="1"/>
    <col min="10247" max="10247" width="9" style="222" hidden="1" customWidth="1"/>
    <col min="10248" max="10496" width="9" style="222"/>
    <col min="10497" max="10497" width="46.75" style="222" customWidth="1"/>
    <col min="10498" max="10498" width="16.625" style="222" customWidth="1"/>
    <col min="10499" max="10499" width="12.625" style="222" customWidth="1"/>
    <col min="10500" max="10500" width="14.625" style="222" customWidth="1"/>
    <col min="10501" max="10501" width="16.625" style="222" customWidth="1"/>
    <col min="10502" max="10502" width="11.5" style="222" customWidth="1"/>
    <col min="10503" max="10503" width="9" style="222" hidden="1" customWidth="1"/>
    <col min="10504" max="10752" width="9" style="222"/>
    <col min="10753" max="10753" width="46.75" style="222" customWidth="1"/>
    <col min="10754" max="10754" width="16.625" style="222" customWidth="1"/>
    <col min="10755" max="10755" width="12.625" style="222" customWidth="1"/>
    <col min="10756" max="10756" width="14.625" style="222" customWidth="1"/>
    <col min="10757" max="10757" width="16.625" style="222" customWidth="1"/>
    <col min="10758" max="10758" width="11.5" style="222" customWidth="1"/>
    <col min="10759" max="10759" width="9" style="222" hidden="1" customWidth="1"/>
    <col min="10760" max="11008" width="9" style="222"/>
    <col min="11009" max="11009" width="46.75" style="222" customWidth="1"/>
    <col min="11010" max="11010" width="16.625" style="222" customWidth="1"/>
    <col min="11011" max="11011" width="12.625" style="222" customWidth="1"/>
    <col min="11012" max="11012" width="14.625" style="222" customWidth="1"/>
    <col min="11013" max="11013" width="16.625" style="222" customWidth="1"/>
    <col min="11014" max="11014" width="11.5" style="222" customWidth="1"/>
    <col min="11015" max="11015" width="9" style="222" hidden="1" customWidth="1"/>
    <col min="11016" max="11264" width="9" style="222"/>
    <col min="11265" max="11265" width="46.75" style="222" customWidth="1"/>
    <col min="11266" max="11266" width="16.625" style="222" customWidth="1"/>
    <col min="11267" max="11267" width="12.625" style="222" customWidth="1"/>
    <col min="11268" max="11268" width="14.625" style="222" customWidth="1"/>
    <col min="11269" max="11269" width="16.625" style="222" customWidth="1"/>
    <col min="11270" max="11270" width="11.5" style="222" customWidth="1"/>
    <col min="11271" max="11271" width="9" style="222" hidden="1" customWidth="1"/>
    <col min="11272" max="11520" width="9" style="222"/>
    <col min="11521" max="11521" width="46.75" style="222" customWidth="1"/>
    <col min="11522" max="11522" width="16.625" style="222" customWidth="1"/>
    <col min="11523" max="11523" width="12.625" style="222" customWidth="1"/>
    <col min="11524" max="11524" width="14.625" style="222" customWidth="1"/>
    <col min="11525" max="11525" width="16.625" style="222" customWidth="1"/>
    <col min="11526" max="11526" width="11.5" style="222" customWidth="1"/>
    <col min="11527" max="11527" width="9" style="222" hidden="1" customWidth="1"/>
    <col min="11528" max="11776" width="9" style="222"/>
    <col min="11777" max="11777" width="46.75" style="222" customWidth="1"/>
    <col min="11778" max="11778" width="16.625" style="222" customWidth="1"/>
    <col min="11779" max="11779" width="12.625" style="222" customWidth="1"/>
    <col min="11780" max="11780" width="14.625" style="222" customWidth="1"/>
    <col min="11781" max="11781" width="16.625" style="222" customWidth="1"/>
    <col min="11782" max="11782" width="11.5" style="222" customWidth="1"/>
    <col min="11783" max="11783" width="9" style="222" hidden="1" customWidth="1"/>
    <col min="11784" max="12032" width="9" style="222"/>
    <col min="12033" max="12033" width="46.75" style="222" customWidth="1"/>
    <col min="12034" max="12034" width="16.625" style="222" customWidth="1"/>
    <col min="12035" max="12035" width="12.625" style="222" customWidth="1"/>
    <col min="12036" max="12036" width="14.625" style="222" customWidth="1"/>
    <col min="12037" max="12037" width="16.625" style="222" customWidth="1"/>
    <col min="12038" max="12038" width="11.5" style="222" customWidth="1"/>
    <col min="12039" max="12039" width="9" style="222" hidden="1" customWidth="1"/>
    <col min="12040" max="12288" width="9" style="222"/>
    <col min="12289" max="12289" width="46.75" style="222" customWidth="1"/>
    <col min="12290" max="12290" width="16.625" style="222" customWidth="1"/>
    <col min="12291" max="12291" width="12.625" style="222" customWidth="1"/>
    <col min="12292" max="12292" width="14.625" style="222" customWidth="1"/>
    <col min="12293" max="12293" width="16.625" style="222" customWidth="1"/>
    <col min="12294" max="12294" width="11.5" style="222" customWidth="1"/>
    <col min="12295" max="12295" width="9" style="222" hidden="1" customWidth="1"/>
    <col min="12296" max="12544" width="9" style="222"/>
    <col min="12545" max="12545" width="46.75" style="222" customWidth="1"/>
    <col min="12546" max="12546" width="16.625" style="222" customWidth="1"/>
    <col min="12547" max="12547" width="12.625" style="222" customWidth="1"/>
    <col min="12548" max="12548" width="14.625" style="222" customWidth="1"/>
    <col min="12549" max="12549" width="16.625" style="222" customWidth="1"/>
    <col min="12550" max="12550" width="11.5" style="222" customWidth="1"/>
    <col min="12551" max="12551" width="9" style="222" hidden="1" customWidth="1"/>
    <col min="12552" max="12800" width="9" style="222"/>
    <col min="12801" max="12801" width="46.75" style="222" customWidth="1"/>
    <col min="12802" max="12802" width="16.625" style="222" customWidth="1"/>
    <col min="12803" max="12803" width="12.625" style="222" customWidth="1"/>
    <col min="12804" max="12804" width="14.625" style="222" customWidth="1"/>
    <col min="12805" max="12805" width="16.625" style="222" customWidth="1"/>
    <col min="12806" max="12806" width="11.5" style="222" customWidth="1"/>
    <col min="12807" max="12807" width="9" style="222" hidden="1" customWidth="1"/>
    <col min="12808" max="13056" width="9" style="222"/>
    <col min="13057" max="13057" width="46.75" style="222" customWidth="1"/>
    <col min="13058" max="13058" width="16.625" style="222" customWidth="1"/>
    <col min="13059" max="13059" width="12.625" style="222" customWidth="1"/>
    <col min="13060" max="13060" width="14.625" style="222" customWidth="1"/>
    <col min="13061" max="13061" width="16.625" style="222" customWidth="1"/>
    <col min="13062" max="13062" width="11.5" style="222" customWidth="1"/>
    <col min="13063" max="13063" width="9" style="222" hidden="1" customWidth="1"/>
    <col min="13064" max="13312" width="9" style="222"/>
    <col min="13313" max="13313" width="46.75" style="222" customWidth="1"/>
    <col min="13314" max="13314" width="16.625" style="222" customWidth="1"/>
    <col min="13315" max="13315" width="12.625" style="222" customWidth="1"/>
    <col min="13316" max="13316" width="14.625" style="222" customWidth="1"/>
    <col min="13317" max="13317" width="16.625" style="222" customWidth="1"/>
    <col min="13318" max="13318" width="11.5" style="222" customWidth="1"/>
    <col min="13319" max="13319" width="9" style="222" hidden="1" customWidth="1"/>
    <col min="13320" max="13568" width="9" style="222"/>
    <col min="13569" max="13569" width="46.75" style="222" customWidth="1"/>
    <col min="13570" max="13570" width="16.625" style="222" customWidth="1"/>
    <col min="13571" max="13571" width="12.625" style="222" customWidth="1"/>
    <col min="13572" max="13572" width="14.625" style="222" customWidth="1"/>
    <col min="13573" max="13573" width="16.625" style="222" customWidth="1"/>
    <col min="13574" max="13574" width="11.5" style="222" customWidth="1"/>
    <col min="13575" max="13575" width="9" style="222" hidden="1" customWidth="1"/>
    <col min="13576" max="13824" width="9" style="222"/>
    <col min="13825" max="13825" width="46.75" style="222" customWidth="1"/>
    <col min="13826" max="13826" width="16.625" style="222" customWidth="1"/>
    <col min="13827" max="13827" width="12.625" style="222" customWidth="1"/>
    <col min="13828" max="13828" width="14.625" style="222" customWidth="1"/>
    <col min="13829" max="13829" width="16.625" style="222" customWidth="1"/>
    <col min="13830" max="13830" width="11.5" style="222" customWidth="1"/>
    <col min="13831" max="13831" width="9" style="222" hidden="1" customWidth="1"/>
    <col min="13832" max="14080" width="9" style="222"/>
    <col min="14081" max="14081" width="46.75" style="222" customWidth="1"/>
    <col min="14082" max="14082" width="16.625" style="222" customWidth="1"/>
    <col min="14083" max="14083" width="12.625" style="222" customWidth="1"/>
    <col min="14084" max="14084" width="14.625" style="222" customWidth="1"/>
    <col min="14085" max="14085" width="16.625" style="222" customWidth="1"/>
    <col min="14086" max="14086" width="11.5" style="222" customWidth="1"/>
    <col min="14087" max="14087" width="9" style="222" hidden="1" customWidth="1"/>
    <col min="14088" max="14336" width="9" style="222"/>
    <col min="14337" max="14337" width="46.75" style="222" customWidth="1"/>
    <col min="14338" max="14338" width="16.625" style="222" customWidth="1"/>
    <col min="14339" max="14339" width="12.625" style="222" customWidth="1"/>
    <col min="14340" max="14340" width="14.625" style="222" customWidth="1"/>
    <col min="14341" max="14341" width="16.625" style="222" customWidth="1"/>
    <col min="14342" max="14342" width="11.5" style="222" customWidth="1"/>
    <col min="14343" max="14343" width="9" style="222" hidden="1" customWidth="1"/>
    <col min="14344" max="14592" width="9" style="222"/>
    <col min="14593" max="14593" width="46.75" style="222" customWidth="1"/>
    <col min="14594" max="14594" width="16.625" style="222" customWidth="1"/>
    <col min="14595" max="14595" width="12.625" style="222" customWidth="1"/>
    <col min="14596" max="14596" width="14.625" style="222" customWidth="1"/>
    <col min="14597" max="14597" width="16.625" style="222" customWidth="1"/>
    <col min="14598" max="14598" width="11.5" style="222" customWidth="1"/>
    <col min="14599" max="14599" width="9" style="222" hidden="1" customWidth="1"/>
    <col min="14600" max="14848" width="9" style="222"/>
    <col min="14849" max="14849" width="46.75" style="222" customWidth="1"/>
    <col min="14850" max="14850" width="16.625" style="222" customWidth="1"/>
    <col min="14851" max="14851" width="12.625" style="222" customWidth="1"/>
    <col min="14852" max="14852" width="14.625" style="222" customWidth="1"/>
    <col min="14853" max="14853" width="16.625" style="222" customWidth="1"/>
    <col min="14854" max="14854" width="11.5" style="222" customWidth="1"/>
    <col min="14855" max="14855" width="9" style="222" hidden="1" customWidth="1"/>
    <col min="14856" max="15104" width="9" style="222"/>
    <col min="15105" max="15105" width="46.75" style="222" customWidth="1"/>
    <col min="15106" max="15106" width="16.625" style="222" customWidth="1"/>
    <col min="15107" max="15107" width="12.625" style="222" customWidth="1"/>
    <col min="15108" max="15108" width="14.625" style="222" customWidth="1"/>
    <col min="15109" max="15109" width="16.625" style="222" customWidth="1"/>
    <col min="15110" max="15110" width="11.5" style="222" customWidth="1"/>
    <col min="15111" max="15111" width="9" style="222" hidden="1" customWidth="1"/>
    <col min="15112" max="15360" width="9" style="222"/>
    <col min="15361" max="15361" width="46.75" style="222" customWidth="1"/>
    <col min="15362" max="15362" width="16.625" style="222" customWidth="1"/>
    <col min="15363" max="15363" width="12.625" style="222" customWidth="1"/>
    <col min="15364" max="15364" width="14.625" style="222" customWidth="1"/>
    <col min="15365" max="15365" width="16.625" style="222" customWidth="1"/>
    <col min="15366" max="15366" width="11.5" style="222" customWidth="1"/>
    <col min="15367" max="15367" width="9" style="222" hidden="1" customWidth="1"/>
    <col min="15368" max="15616" width="9" style="222"/>
    <col min="15617" max="15617" width="46.75" style="222" customWidth="1"/>
    <col min="15618" max="15618" width="16.625" style="222" customWidth="1"/>
    <col min="15619" max="15619" width="12.625" style="222" customWidth="1"/>
    <col min="15620" max="15620" width="14.625" style="222" customWidth="1"/>
    <col min="15621" max="15621" width="16.625" style="222" customWidth="1"/>
    <col min="15622" max="15622" width="11.5" style="222" customWidth="1"/>
    <col min="15623" max="15623" width="9" style="222" hidden="1" customWidth="1"/>
    <col min="15624" max="15872" width="9" style="222"/>
    <col min="15873" max="15873" width="46.75" style="222" customWidth="1"/>
    <col min="15874" max="15874" width="16.625" style="222" customWidth="1"/>
    <col min="15875" max="15875" width="12.625" style="222" customWidth="1"/>
    <col min="15876" max="15876" width="14.625" style="222" customWidth="1"/>
    <col min="15877" max="15877" width="16.625" style="222" customWidth="1"/>
    <col min="15878" max="15878" width="11.5" style="222" customWidth="1"/>
    <col min="15879" max="15879" width="9" style="222" hidden="1" customWidth="1"/>
    <col min="15880" max="16128" width="9" style="222"/>
    <col min="16129" max="16129" width="46.75" style="222" customWidth="1"/>
    <col min="16130" max="16130" width="16.625" style="222" customWidth="1"/>
    <col min="16131" max="16131" width="12.625" style="222" customWidth="1"/>
    <col min="16132" max="16132" width="14.625" style="222" customWidth="1"/>
    <col min="16133" max="16133" width="16.625" style="222" customWidth="1"/>
    <col min="16134" max="16134" width="11.5" style="222" customWidth="1"/>
    <col min="16135" max="16135" width="9" style="222" hidden="1" customWidth="1"/>
    <col min="16136" max="16384" width="9" style="222"/>
  </cols>
  <sheetData>
    <row r="1" s="243" customFormat="1" ht="28.5" spans="1:7">
      <c r="A1" s="246" t="s">
        <v>104</v>
      </c>
      <c r="B1" s="246"/>
      <c r="C1" s="246"/>
      <c r="D1" s="246"/>
      <c r="E1" s="246"/>
      <c r="F1" s="246"/>
      <c r="G1" s="247"/>
    </row>
    <row r="2" s="244" customFormat="1" ht="15" customHeight="1" spans="1:7">
      <c r="A2" s="197" t="s">
        <v>105</v>
      </c>
      <c r="B2" s="197"/>
      <c r="C2" s="197"/>
      <c r="D2" s="197"/>
      <c r="E2" s="248"/>
      <c r="F2" s="249" t="s">
        <v>2</v>
      </c>
      <c r="G2" s="250"/>
    </row>
    <row r="3" ht="25.5" customHeight="1" spans="1:7">
      <c r="A3" s="202" t="s">
        <v>106</v>
      </c>
      <c r="B3" s="202" t="s">
        <v>107</v>
      </c>
      <c r="C3" s="202" t="s">
        <v>108</v>
      </c>
      <c r="D3" s="202" t="s">
        <v>59</v>
      </c>
      <c r="E3" s="202" t="s">
        <v>109</v>
      </c>
      <c r="F3" s="251" t="s">
        <v>110</v>
      </c>
      <c r="G3" s="252" t="s">
        <v>111</v>
      </c>
    </row>
    <row r="4" s="245" customFormat="1" ht="16.5" customHeight="1" spans="1:7">
      <c r="A4" s="253" t="s">
        <v>62</v>
      </c>
      <c r="B4" s="254">
        <f>B5+B10+B13+B19+B24+B28+B33+B35+B39+B40+B44+B49+B52+B53+B56+B61+B62+B65+B67+B69+B71+B76+B80+B85+B89+B92+B93+B95</f>
        <v>27725</v>
      </c>
      <c r="C4" s="254">
        <f>C5+C10+C13+C19+C24+C28+C33+C35+C39+C40+C44+C49+C52+C53+C56+C61+C62+C65+C67+C69+C71+C76+C80+C85+C89+C92+C93+C95</f>
        <v>27606</v>
      </c>
      <c r="D4" s="37">
        <f t="shared" ref="D4:D38" si="0">C4/B4</f>
        <v>0.99570784490532</v>
      </c>
      <c r="E4" s="37">
        <f>(C4-G4)/G4</f>
        <v>-0.0106085585262705</v>
      </c>
      <c r="F4" s="254"/>
      <c r="G4" s="255">
        <f>G5+G10+G13+G19+G24+G28+G33+G35+G39+G40+G44+G49+G52+G53+G56+G61+G62+G65+G67+G69+G71+G76+G80+G85+G89+G92+G93+G95</f>
        <v>27902</v>
      </c>
    </row>
    <row r="5" s="245" customFormat="1" ht="16.5" customHeight="1" spans="1:7">
      <c r="A5" s="256" t="s">
        <v>112</v>
      </c>
      <c r="B5" s="254">
        <f>SUM(B6:B7)</f>
        <v>479</v>
      </c>
      <c r="C5" s="254">
        <f>SUM(C6:C7)</f>
        <v>479</v>
      </c>
      <c r="D5" s="37">
        <f t="shared" si="0"/>
        <v>1</v>
      </c>
      <c r="E5" s="37">
        <f t="shared" ref="E5:E69" si="1">(C5-G5)/G5</f>
        <v>0.157004830917874</v>
      </c>
      <c r="F5" s="254"/>
      <c r="G5" s="255">
        <f>SUM(G6:G7)</f>
        <v>414</v>
      </c>
    </row>
    <row r="6" s="245" customFormat="1" ht="16.5" customHeight="1" spans="1:7">
      <c r="A6" s="216" t="s">
        <v>113</v>
      </c>
      <c r="B6" s="254">
        <v>435</v>
      </c>
      <c r="C6" s="254">
        <v>435</v>
      </c>
      <c r="D6" s="37">
        <f t="shared" si="0"/>
        <v>1</v>
      </c>
      <c r="E6" s="37">
        <f t="shared" si="1"/>
        <v>0.228813559322034</v>
      </c>
      <c r="F6" s="254"/>
      <c r="G6" s="255">
        <v>354</v>
      </c>
    </row>
    <row r="7" s="245" customFormat="1" ht="16.5" customHeight="1" spans="1:7">
      <c r="A7" s="216" t="s">
        <v>114</v>
      </c>
      <c r="B7" s="254">
        <v>44</v>
      </c>
      <c r="C7" s="254">
        <v>44</v>
      </c>
      <c r="D7" s="37">
        <f t="shared" si="0"/>
        <v>1</v>
      </c>
      <c r="E7" s="37">
        <f t="shared" si="1"/>
        <v>-0.266666666666667</v>
      </c>
      <c r="F7" s="254"/>
      <c r="G7" s="255">
        <v>60</v>
      </c>
    </row>
    <row r="8" s="245" customFormat="1" ht="16.5" customHeight="1" spans="1:7">
      <c r="A8" s="216" t="s">
        <v>115</v>
      </c>
      <c r="B8" s="254"/>
      <c r="C8" s="254"/>
      <c r="D8" s="37"/>
      <c r="E8" s="37"/>
      <c r="F8" s="254"/>
      <c r="G8" s="255">
        <v>7</v>
      </c>
    </row>
    <row r="9" s="245" customFormat="1" ht="16.5" customHeight="1" spans="1:7">
      <c r="A9" s="216" t="s">
        <v>116</v>
      </c>
      <c r="B9" s="254"/>
      <c r="C9" s="254"/>
      <c r="D9" s="37"/>
      <c r="E9" s="37"/>
      <c r="F9" s="254"/>
      <c r="G9" s="255">
        <v>-7</v>
      </c>
    </row>
    <row r="10" s="245" customFormat="1" ht="16.5" customHeight="1" spans="1:7">
      <c r="A10" s="256" t="s">
        <v>117</v>
      </c>
      <c r="B10" s="254">
        <f>SUM(B11:B12)</f>
        <v>352</v>
      </c>
      <c r="C10" s="254">
        <f>SUM(C11:C12)</f>
        <v>352</v>
      </c>
      <c r="D10" s="37">
        <f t="shared" si="0"/>
        <v>1</v>
      </c>
      <c r="E10" s="37">
        <f t="shared" si="1"/>
        <v>-0.183294663573086</v>
      </c>
      <c r="F10" s="254"/>
      <c r="G10" s="255">
        <f>SUM(G11:G12)</f>
        <v>431</v>
      </c>
    </row>
    <row r="11" s="245" customFormat="1" ht="16.5" customHeight="1" spans="1:7">
      <c r="A11" s="216" t="s">
        <v>118</v>
      </c>
      <c r="B11" s="254">
        <v>291</v>
      </c>
      <c r="C11" s="254">
        <v>291</v>
      </c>
      <c r="D11" s="37">
        <f t="shared" si="0"/>
        <v>1</v>
      </c>
      <c r="E11" s="37">
        <f t="shared" si="1"/>
        <v>-0.191666666666667</v>
      </c>
      <c r="F11" s="254"/>
      <c r="G11" s="255">
        <v>360</v>
      </c>
    </row>
    <row r="12" s="245" customFormat="1" ht="16.5" customHeight="1" spans="1:7">
      <c r="A12" s="216" t="s">
        <v>119</v>
      </c>
      <c r="B12" s="254">
        <v>61</v>
      </c>
      <c r="C12" s="254">
        <v>61</v>
      </c>
      <c r="D12" s="37">
        <f t="shared" si="0"/>
        <v>1</v>
      </c>
      <c r="E12" s="37">
        <f t="shared" si="1"/>
        <v>-0.140845070422535</v>
      </c>
      <c r="F12" s="254"/>
      <c r="G12" s="255">
        <v>71</v>
      </c>
    </row>
    <row r="13" s="245" customFormat="1" ht="16.5" customHeight="1" spans="1:7">
      <c r="A13" s="256" t="s">
        <v>120</v>
      </c>
      <c r="B13" s="254">
        <f>SUM(B14:B18)</f>
        <v>16267</v>
      </c>
      <c r="C13" s="254">
        <f>SUM(C14:C18)</f>
        <v>16228</v>
      </c>
      <c r="D13" s="37">
        <f t="shared" si="0"/>
        <v>0.997602508145325</v>
      </c>
      <c r="E13" s="37">
        <f t="shared" si="1"/>
        <v>0.038592</v>
      </c>
      <c r="F13" s="254"/>
      <c r="G13" s="255">
        <f>SUM(G14:G18)</f>
        <v>15625</v>
      </c>
    </row>
    <row r="14" s="245" customFormat="1" ht="16.5" customHeight="1" spans="1:7">
      <c r="A14" s="216" t="s">
        <v>121</v>
      </c>
      <c r="B14" s="254">
        <v>6071</v>
      </c>
      <c r="C14" s="254">
        <v>6071</v>
      </c>
      <c r="D14" s="37">
        <f t="shared" si="0"/>
        <v>1</v>
      </c>
      <c r="E14" s="37">
        <f t="shared" si="1"/>
        <v>0.242529676627098</v>
      </c>
      <c r="F14" s="254"/>
      <c r="G14" s="255">
        <v>4886</v>
      </c>
    </row>
    <row r="15" s="245" customFormat="1" ht="16.5" customHeight="1" spans="1:7">
      <c r="A15" s="216" t="s">
        <v>122</v>
      </c>
      <c r="B15" s="254">
        <v>3489</v>
      </c>
      <c r="C15" s="254">
        <v>3489</v>
      </c>
      <c r="D15" s="37">
        <f t="shared" si="0"/>
        <v>1</v>
      </c>
      <c r="E15" s="37">
        <f t="shared" si="1"/>
        <v>-0.0477620087336245</v>
      </c>
      <c r="F15" s="254"/>
      <c r="G15" s="255">
        <v>3664</v>
      </c>
    </row>
    <row r="16" s="245" customFormat="1" ht="16.5" customHeight="1" spans="1:7">
      <c r="A16" s="216" t="s">
        <v>123</v>
      </c>
      <c r="B16" s="254"/>
      <c r="C16" s="254"/>
      <c r="D16" s="37"/>
      <c r="E16" s="37"/>
      <c r="F16" s="254"/>
      <c r="G16" s="255">
        <v>11</v>
      </c>
    </row>
    <row r="17" s="245" customFormat="1" ht="16.5" customHeight="1" spans="1:7">
      <c r="A17" s="216" t="s">
        <v>124</v>
      </c>
      <c r="B17" s="254">
        <v>6678</v>
      </c>
      <c r="C17" s="254">
        <v>6668</v>
      </c>
      <c r="D17" s="37">
        <f t="shared" si="0"/>
        <v>0.998502545672357</v>
      </c>
      <c r="E17" s="37">
        <f t="shared" si="1"/>
        <v>-0.0560588901472254</v>
      </c>
      <c r="F17" s="254"/>
      <c r="G17" s="255">
        <v>7064</v>
      </c>
    </row>
    <row r="18" s="245" customFormat="1" ht="16.5" customHeight="1" spans="1:7">
      <c r="A18" s="216" t="s">
        <v>125</v>
      </c>
      <c r="B18" s="254">
        <v>29</v>
      </c>
      <c r="C18" s="254"/>
      <c r="D18" s="37">
        <f t="shared" si="0"/>
        <v>0</v>
      </c>
      <c r="E18" s="37"/>
      <c r="F18" s="254"/>
      <c r="G18" s="255"/>
    </row>
    <row r="19" s="245" customFormat="1" ht="16.5" customHeight="1" spans="1:7">
      <c r="A19" s="256" t="s">
        <v>126</v>
      </c>
      <c r="B19" s="254">
        <f>SUM(B20:B23)</f>
        <v>816</v>
      </c>
      <c r="C19" s="254">
        <f>SUM(C20:C23)</f>
        <v>816</v>
      </c>
      <c r="D19" s="37">
        <f t="shared" si="0"/>
        <v>1</v>
      </c>
      <c r="E19" s="37">
        <f t="shared" si="1"/>
        <v>-0.15527950310559</v>
      </c>
      <c r="F19" s="254"/>
      <c r="G19" s="255">
        <f>SUM(G20:G23)</f>
        <v>966</v>
      </c>
    </row>
    <row r="20" s="245" customFormat="1" ht="16.5" customHeight="1" spans="1:7">
      <c r="A20" s="216" t="s">
        <v>127</v>
      </c>
      <c r="B20" s="254">
        <v>187</v>
      </c>
      <c r="C20" s="254">
        <v>187</v>
      </c>
      <c r="D20" s="37">
        <f t="shared" si="0"/>
        <v>1</v>
      </c>
      <c r="E20" s="37">
        <f t="shared" si="1"/>
        <v>-0.204255319148936</v>
      </c>
      <c r="F20" s="254"/>
      <c r="G20" s="255">
        <v>235</v>
      </c>
    </row>
    <row r="21" s="245" customFormat="1" ht="16.5" customHeight="1" spans="1:7">
      <c r="A21" s="216" t="s">
        <v>128</v>
      </c>
      <c r="B21" s="254">
        <v>351</v>
      </c>
      <c r="C21" s="254">
        <v>351</v>
      </c>
      <c r="D21" s="37">
        <f t="shared" si="0"/>
        <v>1</v>
      </c>
      <c r="E21" s="37">
        <f t="shared" si="1"/>
        <v>-0.158273381294964</v>
      </c>
      <c r="F21" s="254"/>
      <c r="G21" s="255">
        <v>417</v>
      </c>
    </row>
    <row r="22" s="245" customFormat="1" ht="16.5" customHeight="1" spans="1:7">
      <c r="A22" s="216" t="s">
        <v>114</v>
      </c>
      <c r="B22" s="254">
        <v>278</v>
      </c>
      <c r="C22" s="254">
        <v>278</v>
      </c>
      <c r="D22" s="37">
        <f t="shared" si="0"/>
        <v>1</v>
      </c>
      <c r="E22" s="37">
        <f t="shared" si="1"/>
        <v>-0.236263736263736</v>
      </c>
      <c r="F22" s="254"/>
      <c r="G22" s="255">
        <v>364</v>
      </c>
    </row>
    <row r="23" s="245" customFormat="1" ht="16.5" customHeight="1" spans="1:7">
      <c r="A23" s="216" t="s">
        <v>129</v>
      </c>
      <c r="B23" s="254"/>
      <c r="C23" s="254"/>
      <c r="D23" s="37"/>
      <c r="E23" s="37">
        <f t="shared" si="1"/>
        <v>-1</v>
      </c>
      <c r="F23" s="254"/>
      <c r="G23" s="255">
        <v>-50</v>
      </c>
    </row>
    <row r="24" s="245" customFormat="1" ht="16.5" customHeight="1" spans="1:7">
      <c r="A24" s="257" t="s">
        <v>130</v>
      </c>
      <c r="B24" s="254">
        <f>SUM(B25:B27)</f>
        <v>875</v>
      </c>
      <c r="C24" s="254">
        <f>SUM(C25:C27)</f>
        <v>875</v>
      </c>
      <c r="D24" s="37">
        <f t="shared" si="0"/>
        <v>1</v>
      </c>
      <c r="E24" s="37">
        <f t="shared" si="1"/>
        <v>0.0479041916167665</v>
      </c>
      <c r="F24" s="254"/>
      <c r="G24" s="255">
        <f>SUM(G25:G27)</f>
        <v>835</v>
      </c>
    </row>
    <row r="25" s="245" customFormat="1" ht="16.5" customHeight="1" spans="1:7">
      <c r="A25" s="216" t="s">
        <v>131</v>
      </c>
      <c r="B25" s="254">
        <v>239</v>
      </c>
      <c r="C25" s="254">
        <v>239</v>
      </c>
      <c r="D25" s="37">
        <f t="shared" si="0"/>
        <v>1</v>
      </c>
      <c r="E25" s="37">
        <f t="shared" si="1"/>
        <v>0.373563218390805</v>
      </c>
      <c r="F25" s="254"/>
      <c r="G25" s="255">
        <v>174</v>
      </c>
    </row>
    <row r="26" s="245" customFormat="1" ht="16.5" customHeight="1" spans="1:7">
      <c r="A26" s="216" t="s">
        <v>132</v>
      </c>
      <c r="B26" s="254">
        <v>20</v>
      </c>
      <c r="C26" s="254">
        <v>20</v>
      </c>
      <c r="D26" s="37">
        <f t="shared" si="0"/>
        <v>1</v>
      </c>
      <c r="E26" s="37"/>
      <c r="F26" s="254"/>
      <c r="G26" s="255"/>
    </row>
    <row r="27" s="245" customFormat="1" ht="16.5" customHeight="1" spans="1:7">
      <c r="A27" s="216" t="s">
        <v>114</v>
      </c>
      <c r="B27" s="254">
        <v>616</v>
      </c>
      <c r="C27" s="254">
        <v>616</v>
      </c>
      <c r="D27" s="37">
        <f t="shared" si="0"/>
        <v>1</v>
      </c>
      <c r="E27" s="37">
        <f t="shared" si="1"/>
        <v>-0.0680786686838124</v>
      </c>
      <c r="F27" s="254"/>
      <c r="G27" s="255">
        <v>661</v>
      </c>
    </row>
    <row r="28" s="245" customFormat="1" ht="16.5" customHeight="1" spans="1:7">
      <c r="A28" s="256" t="s">
        <v>133</v>
      </c>
      <c r="B28" s="254">
        <f>SUM(B29:B32)</f>
        <v>1157</v>
      </c>
      <c r="C28" s="254">
        <f>SUM(C29:C32)</f>
        <v>1157</v>
      </c>
      <c r="D28" s="37">
        <f t="shared" si="0"/>
        <v>1</v>
      </c>
      <c r="E28" s="37">
        <f t="shared" si="1"/>
        <v>-0.0706827309236948</v>
      </c>
      <c r="F28" s="254"/>
      <c r="G28" s="255">
        <f>SUM(G29:G32)</f>
        <v>1245</v>
      </c>
    </row>
    <row r="29" s="245" customFormat="1" ht="16.5" customHeight="1" spans="1:7">
      <c r="A29" s="216" t="s">
        <v>134</v>
      </c>
      <c r="B29" s="254">
        <v>386</v>
      </c>
      <c r="C29" s="254">
        <v>386</v>
      </c>
      <c r="D29" s="37">
        <f t="shared" si="0"/>
        <v>1</v>
      </c>
      <c r="E29" s="37">
        <f t="shared" si="1"/>
        <v>-0.0178117048346056</v>
      </c>
      <c r="F29" s="254"/>
      <c r="G29" s="255">
        <v>393</v>
      </c>
    </row>
    <row r="30" s="245" customFormat="1" ht="16.5" customHeight="1" spans="1:7">
      <c r="A30" s="216" t="s">
        <v>135</v>
      </c>
      <c r="B30" s="254">
        <v>2</v>
      </c>
      <c r="C30" s="254">
        <v>2</v>
      </c>
      <c r="D30" s="37">
        <f t="shared" si="0"/>
        <v>1</v>
      </c>
      <c r="E30" s="37"/>
      <c r="F30" s="254"/>
      <c r="G30" s="255"/>
    </row>
    <row r="31" s="245" customFormat="1" ht="16.5" customHeight="1" spans="1:7">
      <c r="A31" s="216" t="s">
        <v>114</v>
      </c>
      <c r="B31" s="254">
        <v>770</v>
      </c>
      <c r="C31" s="254">
        <v>770</v>
      </c>
      <c r="D31" s="37">
        <f t="shared" si="0"/>
        <v>1</v>
      </c>
      <c r="E31" s="37">
        <f t="shared" si="1"/>
        <v>-0.106728538283063</v>
      </c>
      <c r="F31" s="254"/>
      <c r="G31" s="255">
        <v>862</v>
      </c>
    </row>
    <row r="32" s="245" customFormat="1" ht="16.5" customHeight="1" spans="1:7">
      <c r="A32" s="216" t="s">
        <v>136</v>
      </c>
      <c r="B32" s="254">
        <v>-1</v>
      </c>
      <c r="C32" s="254">
        <v>-1</v>
      </c>
      <c r="D32" s="37">
        <f t="shared" si="0"/>
        <v>1</v>
      </c>
      <c r="E32" s="37">
        <f t="shared" si="1"/>
        <v>-0.9</v>
      </c>
      <c r="F32" s="254"/>
      <c r="G32" s="255">
        <v>-10</v>
      </c>
    </row>
    <row r="33" s="245" customFormat="1" ht="16.5" customHeight="1" spans="1:7">
      <c r="A33" s="256" t="s">
        <v>137</v>
      </c>
      <c r="B33" s="254">
        <f>SUM(B34)</f>
        <v>5</v>
      </c>
      <c r="C33" s="254">
        <f>SUM(C34)</f>
        <v>5</v>
      </c>
      <c r="D33" s="37">
        <f t="shared" si="0"/>
        <v>1</v>
      </c>
      <c r="E33" s="37">
        <f t="shared" si="1"/>
        <v>-0.991666666666667</v>
      </c>
      <c r="F33" s="254"/>
      <c r="G33" s="255">
        <f>SUM(G34)</f>
        <v>600</v>
      </c>
    </row>
    <row r="34" s="245" customFormat="1" ht="16.5" customHeight="1" spans="1:7">
      <c r="A34" s="216" t="s">
        <v>138</v>
      </c>
      <c r="B34" s="254">
        <v>5</v>
      </c>
      <c r="C34" s="254">
        <v>5</v>
      </c>
      <c r="D34" s="37">
        <f t="shared" si="0"/>
        <v>1</v>
      </c>
      <c r="E34" s="37">
        <f t="shared" si="1"/>
        <v>-0.991666666666667</v>
      </c>
      <c r="F34" s="254"/>
      <c r="G34" s="255">
        <v>600</v>
      </c>
    </row>
    <row r="35" s="245" customFormat="1" ht="16.5" customHeight="1" spans="1:7">
      <c r="A35" s="257" t="s">
        <v>139</v>
      </c>
      <c r="B35" s="254">
        <f>SUM(B36:B38)</f>
        <v>347</v>
      </c>
      <c r="C35" s="254">
        <f>SUM(C36:C38)</f>
        <v>347</v>
      </c>
      <c r="D35" s="37">
        <f t="shared" si="0"/>
        <v>1</v>
      </c>
      <c r="E35" s="37">
        <f t="shared" si="1"/>
        <v>0.101587301587302</v>
      </c>
      <c r="F35" s="254"/>
      <c r="G35" s="255">
        <f>SUM(G36:G38)</f>
        <v>315</v>
      </c>
    </row>
    <row r="36" s="245" customFormat="1" ht="16.5" customHeight="1" spans="1:7">
      <c r="A36" s="216" t="s">
        <v>140</v>
      </c>
      <c r="B36" s="254">
        <v>168</v>
      </c>
      <c r="C36" s="254">
        <v>168</v>
      </c>
      <c r="D36" s="37">
        <f t="shared" si="0"/>
        <v>1</v>
      </c>
      <c r="E36" s="37">
        <f t="shared" si="1"/>
        <v>0.272727272727273</v>
      </c>
      <c r="F36" s="254"/>
      <c r="G36" s="255">
        <v>132</v>
      </c>
    </row>
    <row r="37" s="245" customFormat="1" ht="16.5" customHeight="1" spans="1:7">
      <c r="A37" s="216" t="s">
        <v>141</v>
      </c>
      <c r="B37" s="254">
        <v>11</v>
      </c>
      <c r="C37" s="254">
        <v>11</v>
      </c>
      <c r="D37" s="37">
        <f t="shared" si="0"/>
        <v>1</v>
      </c>
      <c r="E37" s="37">
        <f t="shared" si="1"/>
        <v>10</v>
      </c>
      <c r="F37" s="254"/>
      <c r="G37" s="255">
        <v>1</v>
      </c>
    </row>
    <row r="38" s="245" customFormat="1" ht="16.5" customHeight="1" spans="1:7">
      <c r="A38" s="216" t="s">
        <v>142</v>
      </c>
      <c r="B38" s="254">
        <v>168</v>
      </c>
      <c r="C38" s="254">
        <v>168</v>
      </c>
      <c r="D38" s="37">
        <f t="shared" si="0"/>
        <v>1</v>
      </c>
      <c r="E38" s="37">
        <f t="shared" si="1"/>
        <v>-0.0769230769230769</v>
      </c>
      <c r="F38" s="254"/>
      <c r="G38" s="255">
        <v>182</v>
      </c>
    </row>
    <row r="39" s="245" customFormat="1" ht="16.5" customHeight="1" spans="1:7">
      <c r="A39" s="256" t="s">
        <v>143</v>
      </c>
      <c r="B39" s="254"/>
      <c r="C39" s="254"/>
      <c r="D39" s="37"/>
      <c r="E39" s="37"/>
      <c r="F39" s="254"/>
      <c r="G39" s="255"/>
    </row>
    <row r="40" s="245" customFormat="1" ht="16.5" customHeight="1" spans="1:7">
      <c r="A40" s="257" t="s">
        <v>144</v>
      </c>
      <c r="B40" s="254">
        <f>SUM(B41:B43)</f>
        <v>56</v>
      </c>
      <c r="C40" s="254">
        <f>SUM(C41:C43)</f>
        <v>56</v>
      </c>
      <c r="D40" s="37">
        <f>C40/B40</f>
        <v>1</v>
      </c>
      <c r="E40" s="37">
        <f t="shared" si="1"/>
        <v>7</v>
      </c>
      <c r="F40" s="254"/>
      <c r="G40" s="255">
        <f>SUM(G41:G43)</f>
        <v>7</v>
      </c>
    </row>
    <row r="41" s="245" customFormat="1" ht="16.5" customHeight="1" spans="1:7">
      <c r="A41" s="216" t="s">
        <v>145</v>
      </c>
      <c r="B41" s="254">
        <v>-4</v>
      </c>
      <c r="C41" s="254">
        <v>-4</v>
      </c>
      <c r="D41" s="37">
        <f>C41/B41</f>
        <v>1</v>
      </c>
      <c r="E41" s="37">
        <f t="shared" si="1"/>
        <v>-0.2</v>
      </c>
      <c r="F41" s="254"/>
      <c r="G41" s="255">
        <v>-5</v>
      </c>
    </row>
    <row r="42" s="245" customFormat="1" ht="16.5" customHeight="1" spans="1:7">
      <c r="A42" s="216" t="s">
        <v>146</v>
      </c>
      <c r="B42" s="254">
        <v>2</v>
      </c>
      <c r="C42" s="254">
        <v>2</v>
      </c>
      <c r="D42" s="37">
        <f>C42/B42</f>
        <v>1</v>
      </c>
      <c r="E42" s="37"/>
      <c r="F42" s="254"/>
      <c r="G42" s="258"/>
    </row>
    <row r="43" s="245" customFormat="1" ht="16.5" customHeight="1" spans="1:7">
      <c r="A43" s="216" t="s">
        <v>114</v>
      </c>
      <c r="B43" s="254">
        <v>58</v>
      </c>
      <c r="C43" s="254">
        <v>58</v>
      </c>
      <c r="D43" s="37">
        <f t="shared" ref="D43:D51" si="2">C43/B43</f>
        <v>1</v>
      </c>
      <c r="E43" s="37">
        <f t="shared" si="1"/>
        <v>3.83333333333333</v>
      </c>
      <c r="F43" s="254"/>
      <c r="G43" s="255">
        <v>12</v>
      </c>
    </row>
    <row r="44" s="245" customFormat="1" ht="16.5" customHeight="1" spans="1:7">
      <c r="A44" s="259" t="s">
        <v>147</v>
      </c>
      <c r="B44" s="254">
        <f>SUM(B45:B48)</f>
        <v>1011</v>
      </c>
      <c r="C44" s="254">
        <f>SUM(C45:C48)</f>
        <v>1011</v>
      </c>
      <c r="D44" s="37">
        <f t="shared" si="2"/>
        <v>1</v>
      </c>
      <c r="E44" s="37">
        <f t="shared" si="1"/>
        <v>0.091792656587473</v>
      </c>
      <c r="F44" s="254"/>
      <c r="G44" s="255">
        <f>SUM(G45:G48)</f>
        <v>926</v>
      </c>
    </row>
    <row r="45" s="245" customFormat="1" ht="16.5" customHeight="1" spans="1:7">
      <c r="A45" s="216" t="s">
        <v>148</v>
      </c>
      <c r="B45" s="254">
        <v>581</v>
      </c>
      <c r="C45" s="254">
        <v>581</v>
      </c>
      <c r="D45" s="37">
        <f t="shared" si="2"/>
        <v>1</v>
      </c>
      <c r="E45" s="37">
        <f t="shared" si="1"/>
        <v>0.00868055555555556</v>
      </c>
      <c r="F45" s="254"/>
      <c r="G45" s="255">
        <v>576</v>
      </c>
    </row>
    <row r="46" s="245" customFormat="1" ht="16.5" customHeight="1" spans="1:7">
      <c r="A46" s="216" t="s">
        <v>149</v>
      </c>
      <c r="B46" s="254">
        <v>149</v>
      </c>
      <c r="C46" s="254">
        <v>149</v>
      </c>
      <c r="D46" s="37">
        <f t="shared" si="2"/>
        <v>1</v>
      </c>
      <c r="E46" s="37"/>
      <c r="F46" s="254"/>
      <c r="G46" s="255">
        <v>137</v>
      </c>
    </row>
    <row r="47" s="245" customFormat="1" ht="16.5" customHeight="1" spans="1:7">
      <c r="A47" s="216" t="s">
        <v>119</v>
      </c>
      <c r="B47" s="254">
        <v>265</v>
      </c>
      <c r="C47" s="254">
        <v>265</v>
      </c>
      <c r="D47" s="37">
        <f t="shared" si="2"/>
        <v>1</v>
      </c>
      <c r="E47" s="37">
        <f t="shared" si="1"/>
        <v>0.373056994818653</v>
      </c>
      <c r="F47" s="254"/>
      <c r="G47" s="255">
        <v>193</v>
      </c>
    </row>
    <row r="48" s="245" customFormat="1" ht="16.5" customHeight="1" spans="1:7">
      <c r="A48" s="216" t="s">
        <v>150</v>
      </c>
      <c r="B48" s="254">
        <v>16</v>
      </c>
      <c r="C48" s="254">
        <v>16</v>
      </c>
      <c r="D48" s="37">
        <f t="shared" si="2"/>
        <v>1</v>
      </c>
      <c r="E48" s="37"/>
      <c r="F48" s="254"/>
      <c r="G48" s="255">
        <v>20</v>
      </c>
    </row>
    <row r="49" s="245" customFormat="1" ht="16.5" customHeight="1" spans="1:7">
      <c r="A49" s="259" t="s">
        <v>151</v>
      </c>
      <c r="B49" s="254">
        <f>SUM(B50:B51)</f>
        <v>153</v>
      </c>
      <c r="C49" s="254">
        <f>SUM(C50:C51)</f>
        <v>153</v>
      </c>
      <c r="D49" s="37">
        <f t="shared" si="2"/>
        <v>1</v>
      </c>
      <c r="E49" s="37">
        <f t="shared" si="1"/>
        <v>-0.140449438202247</v>
      </c>
      <c r="F49" s="254"/>
      <c r="G49" s="255">
        <f>SUM(G50:G51)</f>
        <v>178</v>
      </c>
    </row>
    <row r="50" s="245" customFormat="1" ht="16.5" customHeight="1" spans="1:7">
      <c r="A50" s="259" t="s">
        <v>152</v>
      </c>
      <c r="B50" s="254">
        <v>110</v>
      </c>
      <c r="C50" s="254">
        <v>110</v>
      </c>
      <c r="D50" s="37">
        <f t="shared" si="2"/>
        <v>1</v>
      </c>
      <c r="E50" s="37"/>
      <c r="F50" s="254"/>
      <c r="G50" s="258"/>
    </row>
    <row r="51" s="245" customFormat="1" ht="16.5" customHeight="1" spans="1:7">
      <c r="A51" s="216" t="s">
        <v>119</v>
      </c>
      <c r="B51" s="254">
        <v>43</v>
      </c>
      <c r="C51" s="254">
        <v>43</v>
      </c>
      <c r="D51" s="37">
        <f t="shared" si="2"/>
        <v>1</v>
      </c>
      <c r="E51" s="37">
        <f t="shared" si="1"/>
        <v>-0.758426966292135</v>
      </c>
      <c r="F51" s="254"/>
      <c r="G51" s="255">
        <v>178</v>
      </c>
    </row>
    <row r="52" s="245" customFormat="1" ht="16.5" customHeight="1" spans="1:7">
      <c r="A52" s="257" t="s">
        <v>153</v>
      </c>
      <c r="B52" s="254"/>
      <c r="C52" s="254"/>
      <c r="D52" s="37"/>
      <c r="E52" s="37"/>
      <c r="F52" s="254"/>
      <c r="G52" s="255"/>
    </row>
    <row r="53" s="245" customFormat="1" ht="16.5" customHeight="1" spans="1:7">
      <c r="A53" s="257" t="s">
        <v>154</v>
      </c>
      <c r="B53" s="254">
        <f>SUM(B54:B55)</f>
        <v>-3</v>
      </c>
      <c r="C53" s="254">
        <f>SUM(C54:C55)</f>
        <v>-3</v>
      </c>
      <c r="D53" s="37">
        <f>C53/B53</f>
        <v>1</v>
      </c>
      <c r="E53" s="37">
        <f t="shared" si="1"/>
        <v>-1.27272727272727</v>
      </c>
      <c r="F53" s="254"/>
      <c r="G53" s="255">
        <f>SUM(G54:G55)</f>
        <v>11</v>
      </c>
    </row>
    <row r="54" s="245" customFormat="1" ht="16.5" customHeight="1" spans="1:7">
      <c r="A54" s="216" t="s">
        <v>155</v>
      </c>
      <c r="B54" s="254"/>
      <c r="C54" s="254"/>
      <c r="D54" s="37"/>
      <c r="E54" s="37"/>
      <c r="F54" s="254"/>
      <c r="G54" s="255"/>
    </row>
    <row r="55" s="245" customFormat="1" ht="16.5" customHeight="1" spans="1:7">
      <c r="A55" s="216" t="s">
        <v>156</v>
      </c>
      <c r="B55" s="254">
        <v>-3</v>
      </c>
      <c r="C55" s="254">
        <v>-3</v>
      </c>
      <c r="D55" s="37">
        <f t="shared" ref="D55:D60" si="3">C55/B55</f>
        <v>1</v>
      </c>
      <c r="E55" s="37">
        <f t="shared" si="1"/>
        <v>-1.27272727272727</v>
      </c>
      <c r="F55" s="254"/>
      <c r="G55" s="255">
        <v>11</v>
      </c>
    </row>
    <row r="56" s="245" customFormat="1" ht="16.5" customHeight="1" spans="1:7">
      <c r="A56" s="256" t="s">
        <v>157</v>
      </c>
      <c r="B56" s="254">
        <f>SUM(B57:B60)</f>
        <v>1428</v>
      </c>
      <c r="C56" s="254">
        <f>SUM(C57:C60)</f>
        <v>1428</v>
      </c>
      <c r="D56" s="37">
        <f t="shared" si="3"/>
        <v>1</v>
      </c>
      <c r="E56" s="37">
        <f t="shared" si="1"/>
        <v>-0.24364406779661</v>
      </c>
      <c r="F56" s="254"/>
      <c r="G56" s="255">
        <f>SUM(G57:G60)</f>
        <v>1888</v>
      </c>
    </row>
    <row r="57" s="245" customFormat="1" ht="16.5" customHeight="1" spans="1:7">
      <c r="A57" s="216" t="s">
        <v>155</v>
      </c>
      <c r="B57" s="254">
        <v>858</v>
      </c>
      <c r="C57" s="254">
        <v>858</v>
      </c>
      <c r="D57" s="37">
        <f t="shared" si="3"/>
        <v>1</v>
      </c>
      <c r="E57" s="37">
        <f t="shared" si="1"/>
        <v>-0.301302931596091</v>
      </c>
      <c r="F57" s="254"/>
      <c r="G57" s="255">
        <v>1228</v>
      </c>
    </row>
    <row r="58" s="245" customFormat="1" ht="16.5" customHeight="1" spans="1:7">
      <c r="A58" s="216" t="s">
        <v>158</v>
      </c>
      <c r="B58" s="254">
        <v>-64</v>
      </c>
      <c r="C58" s="254">
        <v>-64</v>
      </c>
      <c r="D58" s="37">
        <f t="shared" si="3"/>
        <v>1</v>
      </c>
      <c r="E58" s="37">
        <f t="shared" si="1"/>
        <v>-4.76470588235294</v>
      </c>
      <c r="F58" s="254"/>
      <c r="G58" s="255">
        <v>17</v>
      </c>
    </row>
    <row r="59" s="245" customFormat="1" ht="16.5" customHeight="1" spans="1:7">
      <c r="A59" s="216" t="s">
        <v>159</v>
      </c>
      <c r="B59" s="254">
        <v>572</v>
      </c>
      <c r="C59" s="254">
        <v>572</v>
      </c>
      <c r="D59" s="37">
        <f t="shared" si="3"/>
        <v>1</v>
      </c>
      <c r="E59" s="37">
        <f t="shared" si="1"/>
        <v>-0.110419906687403</v>
      </c>
      <c r="F59" s="254"/>
      <c r="G59" s="255">
        <v>643</v>
      </c>
    </row>
    <row r="60" s="245" customFormat="1" ht="16.5" customHeight="1" spans="1:7">
      <c r="A60" s="216" t="s">
        <v>160</v>
      </c>
      <c r="B60" s="254">
        <v>62</v>
      </c>
      <c r="C60" s="254">
        <v>62</v>
      </c>
      <c r="D60" s="37">
        <f t="shared" si="3"/>
        <v>1</v>
      </c>
      <c r="E60" s="37"/>
      <c r="F60" s="254"/>
      <c r="G60" s="258"/>
    </row>
    <row r="61" s="245" customFormat="1" ht="16.5" customHeight="1" spans="1:7">
      <c r="A61" s="256" t="s">
        <v>161</v>
      </c>
      <c r="B61" s="254"/>
      <c r="C61" s="254"/>
      <c r="D61" s="37"/>
      <c r="E61" s="37"/>
      <c r="F61" s="254"/>
      <c r="G61" s="255"/>
    </row>
    <row r="62" s="245" customFormat="1" ht="16.5" customHeight="1" spans="1:7">
      <c r="A62" s="256" t="s">
        <v>162</v>
      </c>
      <c r="B62" s="254">
        <f>SUM(B63:B64)</f>
        <v>21</v>
      </c>
      <c r="C62" s="254">
        <f>SUM(C63:C64)</f>
        <v>21</v>
      </c>
      <c r="D62" s="37">
        <f t="shared" ref="D62:D77" si="4">C62/B62</f>
        <v>1</v>
      </c>
      <c r="E62" s="37">
        <f t="shared" si="1"/>
        <v>0.05</v>
      </c>
      <c r="F62" s="254"/>
      <c r="G62" s="255">
        <f>SUM(G63:G64)</f>
        <v>20</v>
      </c>
    </row>
    <row r="63" s="245" customFormat="1" ht="16.5" customHeight="1" spans="1:7">
      <c r="A63" s="216" t="s">
        <v>163</v>
      </c>
      <c r="B63" s="254">
        <v>19</v>
      </c>
      <c r="C63" s="254">
        <v>19</v>
      </c>
      <c r="D63" s="37">
        <f t="shared" si="4"/>
        <v>1</v>
      </c>
      <c r="E63" s="37">
        <f t="shared" si="1"/>
        <v>0.266666666666667</v>
      </c>
      <c r="F63" s="254"/>
      <c r="G63" s="255">
        <v>15</v>
      </c>
    </row>
    <row r="64" s="245" customFormat="1" ht="16.5" customHeight="1" spans="1:7">
      <c r="A64" s="216" t="s">
        <v>164</v>
      </c>
      <c r="B64" s="254">
        <v>2</v>
      </c>
      <c r="C64" s="254">
        <v>2</v>
      </c>
      <c r="D64" s="37">
        <f t="shared" si="4"/>
        <v>1</v>
      </c>
      <c r="E64" s="37">
        <f t="shared" si="1"/>
        <v>-0.6</v>
      </c>
      <c r="F64" s="254"/>
      <c r="G64" s="255">
        <v>5</v>
      </c>
    </row>
    <row r="65" s="245" customFormat="1" ht="16.5" customHeight="1" spans="1:7">
      <c r="A65" s="256" t="s">
        <v>165</v>
      </c>
      <c r="B65" s="254">
        <f>SUM(B66)</f>
        <v>64</v>
      </c>
      <c r="C65" s="254">
        <f>SUM(C66)</f>
        <v>64</v>
      </c>
      <c r="D65" s="37">
        <f t="shared" si="4"/>
        <v>1</v>
      </c>
      <c r="E65" s="37">
        <f t="shared" si="1"/>
        <v>-0.111111111111111</v>
      </c>
      <c r="F65" s="254"/>
      <c r="G65" s="255">
        <f>SUM(G66)</f>
        <v>72</v>
      </c>
    </row>
    <row r="66" s="245" customFormat="1" ht="16.5" customHeight="1" spans="1:7">
      <c r="A66" s="216" t="s">
        <v>166</v>
      </c>
      <c r="B66" s="254">
        <v>64</v>
      </c>
      <c r="C66" s="254">
        <v>64</v>
      </c>
      <c r="D66" s="37">
        <f t="shared" si="4"/>
        <v>1</v>
      </c>
      <c r="E66" s="37">
        <f t="shared" si="1"/>
        <v>-0.111111111111111</v>
      </c>
      <c r="F66" s="254"/>
      <c r="G66" s="255">
        <v>72</v>
      </c>
    </row>
    <row r="67" s="245" customFormat="1" ht="16.5" customHeight="1" spans="1:7">
      <c r="A67" s="257" t="s">
        <v>167</v>
      </c>
      <c r="B67" s="254">
        <f>SUM(B68)</f>
        <v>139</v>
      </c>
      <c r="C67" s="254">
        <f>SUM(C68)</f>
        <v>139</v>
      </c>
      <c r="D67" s="37">
        <f t="shared" si="4"/>
        <v>1</v>
      </c>
      <c r="E67" s="37">
        <f t="shared" si="1"/>
        <v>-0.0608108108108108</v>
      </c>
      <c r="F67" s="254"/>
      <c r="G67" s="255">
        <f>SUM(G68)</f>
        <v>148</v>
      </c>
    </row>
    <row r="68" s="245" customFormat="1" ht="16.5" customHeight="1" spans="1:7">
      <c r="A68" s="216" t="s">
        <v>168</v>
      </c>
      <c r="B68" s="254">
        <v>139</v>
      </c>
      <c r="C68" s="254">
        <v>139</v>
      </c>
      <c r="D68" s="37">
        <f t="shared" si="4"/>
        <v>1</v>
      </c>
      <c r="E68" s="37">
        <f t="shared" si="1"/>
        <v>-0.0608108108108108</v>
      </c>
      <c r="F68" s="254"/>
      <c r="G68" s="255">
        <v>148</v>
      </c>
    </row>
    <row r="69" s="245" customFormat="1" ht="16.5" customHeight="1" spans="1:7">
      <c r="A69" s="257" t="s">
        <v>169</v>
      </c>
      <c r="B69" s="254">
        <f>SUM(B70)</f>
        <v>76</v>
      </c>
      <c r="C69" s="254">
        <f>SUM(C70)</f>
        <v>76</v>
      </c>
      <c r="D69" s="37">
        <f t="shared" si="4"/>
        <v>1</v>
      </c>
      <c r="E69" s="37">
        <f t="shared" si="1"/>
        <v>0</v>
      </c>
      <c r="F69" s="254"/>
      <c r="G69" s="255">
        <f>SUM(G70)</f>
        <v>76</v>
      </c>
    </row>
    <row r="70" s="245" customFormat="1" ht="16.5" customHeight="1" spans="1:7">
      <c r="A70" s="216" t="s">
        <v>152</v>
      </c>
      <c r="B70" s="254">
        <v>76</v>
      </c>
      <c r="C70" s="254">
        <v>76</v>
      </c>
      <c r="D70" s="37">
        <f t="shared" si="4"/>
        <v>1</v>
      </c>
      <c r="E70" s="37">
        <f t="shared" ref="E70:E136" si="5">(C70-G70)/G70</f>
        <v>0</v>
      </c>
      <c r="F70" s="254"/>
      <c r="G70" s="255">
        <v>76</v>
      </c>
    </row>
    <row r="71" s="245" customFormat="1" ht="16.5" customHeight="1" spans="1:7">
      <c r="A71" s="257" t="s">
        <v>170</v>
      </c>
      <c r="B71" s="254">
        <f>SUM(B72:B75)</f>
        <v>529</v>
      </c>
      <c r="C71" s="254">
        <f>SUM(C72:C75)</f>
        <v>529</v>
      </c>
      <c r="D71" s="37">
        <f t="shared" si="4"/>
        <v>1</v>
      </c>
      <c r="E71" s="37">
        <f t="shared" si="5"/>
        <v>-0.233333333333333</v>
      </c>
      <c r="F71" s="254"/>
      <c r="G71" s="255">
        <f>SUM(G72:G75)</f>
        <v>690</v>
      </c>
    </row>
    <row r="72" s="245" customFormat="1" ht="16.5" customHeight="1" spans="1:7">
      <c r="A72" s="216" t="s">
        <v>171</v>
      </c>
      <c r="B72" s="254">
        <v>408</v>
      </c>
      <c r="C72" s="254">
        <v>408</v>
      </c>
      <c r="D72" s="37">
        <f t="shared" si="4"/>
        <v>1</v>
      </c>
      <c r="E72" s="37">
        <f t="shared" si="5"/>
        <v>-0.175757575757576</v>
      </c>
      <c r="F72" s="254"/>
      <c r="G72" s="255">
        <v>495</v>
      </c>
    </row>
    <row r="73" s="245" customFormat="1" ht="16.5" customHeight="1" spans="1:7">
      <c r="A73" s="216" t="s">
        <v>172</v>
      </c>
      <c r="B73" s="254">
        <v>13</v>
      </c>
      <c r="C73" s="254">
        <v>13</v>
      </c>
      <c r="D73" s="37">
        <f t="shared" si="4"/>
        <v>1</v>
      </c>
      <c r="E73" s="37"/>
      <c r="F73" s="254"/>
      <c r="G73" s="255"/>
    </row>
    <row r="74" s="245" customFormat="1" ht="16.5" customHeight="1" spans="1:7">
      <c r="A74" s="216" t="s">
        <v>173</v>
      </c>
      <c r="B74" s="254">
        <v>54</v>
      </c>
      <c r="C74" s="254">
        <v>54</v>
      </c>
      <c r="D74" s="37">
        <f t="shared" si="4"/>
        <v>1</v>
      </c>
      <c r="E74" s="37">
        <f t="shared" si="5"/>
        <v>-0.617021276595745</v>
      </c>
      <c r="F74" s="254"/>
      <c r="G74" s="255">
        <v>141</v>
      </c>
    </row>
    <row r="75" s="245" customFormat="1" ht="16.5" customHeight="1" spans="1:7">
      <c r="A75" s="216" t="s">
        <v>174</v>
      </c>
      <c r="B75" s="254">
        <v>54</v>
      </c>
      <c r="C75" s="254">
        <v>54</v>
      </c>
      <c r="D75" s="37">
        <f t="shared" si="4"/>
        <v>1</v>
      </c>
      <c r="E75" s="37">
        <f t="shared" si="5"/>
        <v>0</v>
      </c>
      <c r="F75" s="254"/>
      <c r="G75" s="255">
        <v>54</v>
      </c>
    </row>
    <row r="76" s="245" customFormat="1" ht="16.5" customHeight="1" spans="1:7">
      <c r="A76" s="257" t="s">
        <v>175</v>
      </c>
      <c r="B76" s="254">
        <f>SUM(B77:B79)</f>
        <v>1506</v>
      </c>
      <c r="C76" s="254">
        <f>SUM(C77:C79)</f>
        <v>1506</v>
      </c>
      <c r="D76" s="37">
        <f t="shared" si="4"/>
        <v>1</v>
      </c>
      <c r="E76" s="37">
        <f t="shared" si="5"/>
        <v>0.183962264150943</v>
      </c>
      <c r="F76" s="254"/>
      <c r="G76" s="255">
        <f>SUM(G77:G79)</f>
        <v>1272</v>
      </c>
    </row>
    <row r="77" s="245" customFormat="1" ht="16.5" customHeight="1" spans="1:7">
      <c r="A77" s="216" t="s">
        <v>152</v>
      </c>
      <c r="B77" s="254">
        <v>1046</v>
      </c>
      <c r="C77" s="254">
        <v>1046</v>
      </c>
      <c r="D77" s="37">
        <f t="shared" si="4"/>
        <v>1</v>
      </c>
      <c r="E77" s="37">
        <f t="shared" si="5"/>
        <v>0.342747111681643</v>
      </c>
      <c r="F77" s="254"/>
      <c r="G77" s="255">
        <v>779</v>
      </c>
    </row>
    <row r="78" s="245" customFormat="1" ht="16.5" customHeight="1" spans="1:7">
      <c r="A78" s="216" t="s">
        <v>176</v>
      </c>
      <c r="B78" s="254"/>
      <c r="C78" s="254"/>
      <c r="D78" s="37"/>
      <c r="E78" s="37"/>
      <c r="F78" s="254"/>
      <c r="G78" s="255"/>
    </row>
    <row r="79" s="245" customFormat="1" ht="16.5" customHeight="1" spans="1:7">
      <c r="A79" s="216" t="s">
        <v>114</v>
      </c>
      <c r="B79" s="254">
        <v>460</v>
      </c>
      <c r="C79" s="254">
        <v>460</v>
      </c>
      <c r="D79" s="37">
        <f t="shared" ref="D79:D91" si="6">C79/B79</f>
        <v>1</v>
      </c>
      <c r="E79" s="37">
        <f t="shared" si="5"/>
        <v>-0.0669371196754564</v>
      </c>
      <c r="F79" s="254"/>
      <c r="G79" s="255">
        <v>493</v>
      </c>
    </row>
    <row r="80" s="245" customFormat="1" ht="16.5" customHeight="1" spans="1:7">
      <c r="A80" s="257" t="s">
        <v>177</v>
      </c>
      <c r="B80" s="254">
        <f>SUM(B81:B84)</f>
        <v>1512</v>
      </c>
      <c r="C80" s="254">
        <f>SUM(C81:C84)</f>
        <v>1479</v>
      </c>
      <c r="D80" s="37">
        <f t="shared" si="6"/>
        <v>0.978174603174603</v>
      </c>
      <c r="E80" s="37">
        <f t="shared" si="5"/>
        <v>0.558482613277134</v>
      </c>
      <c r="F80" s="254"/>
      <c r="G80" s="255">
        <f>SUM(G81:G84)</f>
        <v>949</v>
      </c>
    </row>
    <row r="81" s="245" customFormat="1" ht="16.5" customHeight="1" spans="1:7">
      <c r="A81" s="216" t="s">
        <v>178</v>
      </c>
      <c r="B81" s="254">
        <v>558</v>
      </c>
      <c r="C81" s="254">
        <v>558</v>
      </c>
      <c r="D81" s="37">
        <f t="shared" si="6"/>
        <v>1</v>
      </c>
      <c r="E81" s="37">
        <f t="shared" si="5"/>
        <v>1.05147058823529</v>
      </c>
      <c r="F81" s="254"/>
      <c r="G81" s="255">
        <v>272</v>
      </c>
    </row>
    <row r="82" s="245" customFormat="1" ht="16.5" customHeight="1" spans="1:7">
      <c r="A82" s="216" t="s">
        <v>179</v>
      </c>
      <c r="B82" s="254">
        <v>-18</v>
      </c>
      <c r="C82" s="254">
        <v>-18</v>
      </c>
      <c r="D82" s="37">
        <f t="shared" si="6"/>
        <v>1</v>
      </c>
      <c r="E82" s="37">
        <f t="shared" si="5"/>
        <v>-1.64285714285714</v>
      </c>
      <c r="F82" s="254"/>
      <c r="G82" s="255">
        <v>28</v>
      </c>
    </row>
    <row r="83" s="245" customFormat="1" ht="16.5" customHeight="1" spans="1:7">
      <c r="A83" s="216" t="s">
        <v>180</v>
      </c>
      <c r="B83" s="254">
        <v>212</v>
      </c>
      <c r="C83" s="254">
        <v>212</v>
      </c>
      <c r="D83" s="37">
        <f t="shared" si="6"/>
        <v>1</v>
      </c>
      <c r="E83" s="37">
        <f t="shared" si="5"/>
        <v>-0.520361990950226</v>
      </c>
      <c r="F83" s="254"/>
      <c r="G83" s="255">
        <v>442</v>
      </c>
    </row>
    <row r="84" s="245" customFormat="1" ht="16.5" customHeight="1" spans="1:7">
      <c r="A84" s="216" t="s">
        <v>181</v>
      </c>
      <c r="B84" s="254">
        <v>760</v>
      </c>
      <c r="C84" s="254">
        <v>727</v>
      </c>
      <c r="D84" s="37">
        <f t="shared" si="6"/>
        <v>0.956578947368421</v>
      </c>
      <c r="E84" s="37">
        <f t="shared" si="5"/>
        <v>2.51207729468599</v>
      </c>
      <c r="F84" s="254"/>
      <c r="G84" s="255">
        <v>207</v>
      </c>
    </row>
    <row r="85" s="245" customFormat="1" ht="16.5" customHeight="1" spans="1:7">
      <c r="A85" s="257" t="s">
        <v>182</v>
      </c>
      <c r="B85" s="254">
        <f>SUM(B86:B88)</f>
        <v>751</v>
      </c>
      <c r="C85" s="254">
        <f>SUM(C86:C88)</f>
        <v>751</v>
      </c>
      <c r="D85" s="37">
        <f t="shared" si="6"/>
        <v>1</v>
      </c>
      <c r="E85" s="37">
        <f t="shared" si="5"/>
        <v>-0.0481622306717364</v>
      </c>
      <c r="F85" s="254"/>
      <c r="G85" s="255">
        <f>SUM(G86:G88)</f>
        <v>789</v>
      </c>
    </row>
    <row r="86" s="245" customFormat="1" ht="16.5" customHeight="1" spans="1:7">
      <c r="A86" s="216" t="s">
        <v>183</v>
      </c>
      <c r="B86" s="254">
        <v>549</v>
      </c>
      <c r="C86" s="254">
        <v>549</v>
      </c>
      <c r="D86" s="37">
        <f t="shared" si="6"/>
        <v>1</v>
      </c>
      <c r="E86" s="37">
        <f t="shared" si="5"/>
        <v>-0.046875</v>
      </c>
      <c r="F86" s="254"/>
      <c r="G86" s="255">
        <v>576</v>
      </c>
    </row>
    <row r="87" s="245" customFormat="1" ht="16.5" customHeight="1" spans="1:7">
      <c r="A87" s="216" t="s">
        <v>184</v>
      </c>
      <c r="B87" s="254">
        <v>-5</v>
      </c>
      <c r="C87" s="254">
        <v>-5</v>
      </c>
      <c r="D87" s="37">
        <f t="shared" si="6"/>
        <v>1</v>
      </c>
      <c r="E87" s="37">
        <f t="shared" si="5"/>
        <v>-1.5</v>
      </c>
      <c r="F87" s="254"/>
      <c r="G87" s="255">
        <v>10</v>
      </c>
    </row>
    <row r="88" s="245" customFormat="1" ht="16.5" customHeight="1" spans="1:7">
      <c r="A88" s="216" t="s">
        <v>185</v>
      </c>
      <c r="B88" s="254">
        <v>207</v>
      </c>
      <c r="C88" s="254">
        <v>207</v>
      </c>
      <c r="D88" s="37">
        <f t="shared" si="6"/>
        <v>1</v>
      </c>
      <c r="E88" s="37">
        <f t="shared" si="5"/>
        <v>0.0197044334975369</v>
      </c>
      <c r="F88" s="254"/>
      <c r="G88" s="255">
        <v>203</v>
      </c>
    </row>
    <row r="89" s="245" customFormat="1" ht="16.5" customHeight="1" spans="1:7">
      <c r="A89" s="257" t="s">
        <v>186</v>
      </c>
      <c r="B89" s="254">
        <f>SUM(B90:B91)</f>
        <v>104</v>
      </c>
      <c r="C89" s="254">
        <f>SUM(C90:C91)</f>
        <v>104</v>
      </c>
      <c r="D89" s="37">
        <f t="shared" si="6"/>
        <v>1</v>
      </c>
      <c r="E89" s="37">
        <f t="shared" si="5"/>
        <v>-0.079646017699115</v>
      </c>
      <c r="F89" s="254"/>
      <c r="G89" s="255">
        <f>SUM(G90:G91)</f>
        <v>113</v>
      </c>
    </row>
    <row r="90" s="245" customFormat="1" ht="16.5" customHeight="1" spans="1:7">
      <c r="A90" s="216" t="s">
        <v>187</v>
      </c>
      <c r="B90" s="254">
        <v>75</v>
      </c>
      <c r="C90" s="254">
        <v>75</v>
      </c>
      <c r="D90" s="37">
        <f t="shared" si="6"/>
        <v>1</v>
      </c>
      <c r="E90" s="37">
        <f t="shared" si="5"/>
        <v>-0.0384615384615385</v>
      </c>
      <c r="F90" s="254"/>
      <c r="G90" s="255">
        <v>78</v>
      </c>
    </row>
    <row r="91" s="245" customFormat="1" ht="16.5" customHeight="1" spans="1:7">
      <c r="A91" s="216" t="s">
        <v>119</v>
      </c>
      <c r="B91" s="254">
        <v>29</v>
      </c>
      <c r="C91" s="254">
        <v>29</v>
      </c>
      <c r="D91" s="37">
        <f t="shared" si="6"/>
        <v>1</v>
      </c>
      <c r="E91" s="37">
        <f t="shared" si="5"/>
        <v>-0.171428571428571</v>
      </c>
      <c r="F91" s="254"/>
      <c r="G91" s="255">
        <v>35</v>
      </c>
    </row>
    <row r="92" s="245" customFormat="1" ht="16.5" customHeight="1" spans="1:7">
      <c r="A92" s="257" t="s">
        <v>188</v>
      </c>
      <c r="B92" s="254"/>
      <c r="C92" s="254"/>
      <c r="D92" s="37"/>
      <c r="E92" s="37"/>
      <c r="F92" s="254"/>
      <c r="G92" s="255"/>
    </row>
    <row r="93" s="245" customFormat="1" ht="16.5" customHeight="1" spans="1:7">
      <c r="A93" s="257" t="s">
        <v>189</v>
      </c>
      <c r="B93" s="254">
        <f>SUM(B94)</f>
        <v>33</v>
      </c>
      <c r="C93" s="254">
        <f>SUM(C94)</f>
        <v>33</v>
      </c>
      <c r="D93" s="37">
        <f>C93/B93</f>
        <v>1</v>
      </c>
      <c r="E93" s="37"/>
      <c r="F93" s="254"/>
      <c r="G93" s="255">
        <f>SUM(G94)</f>
        <v>0</v>
      </c>
    </row>
    <row r="94" s="245" customFormat="1" ht="16.5" customHeight="1" spans="1:7">
      <c r="A94" s="216" t="s">
        <v>190</v>
      </c>
      <c r="B94" s="254">
        <v>33</v>
      </c>
      <c r="C94" s="254">
        <v>33</v>
      </c>
      <c r="D94" s="37">
        <f>C94/B94</f>
        <v>1</v>
      </c>
      <c r="E94" s="37"/>
      <c r="F94" s="254"/>
      <c r="G94" s="255"/>
    </row>
    <row r="95" s="245" customFormat="1" ht="16.5" customHeight="1" spans="1:7">
      <c r="A95" s="257" t="s">
        <v>191</v>
      </c>
      <c r="B95" s="254">
        <f>SUM(B96)</f>
        <v>47</v>
      </c>
      <c r="C95" s="254">
        <f>SUM(C96)</f>
        <v>0</v>
      </c>
      <c r="D95" s="37">
        <f>C95/B95</f>
        <v>0</v>
      </c>
      <c r="E95" s="37">
        <f t="shared" si="5"/>
        <v>-1</v>
      </c>
      <c r="F95" s="254"/>
      <c r="G95" s="255">
        <f>SUM(G96)</f>
        <v>332</v>
      </c>
    </row>
    <row r="96" s="245" customFormat="1" ht="16.5" customHeight="1" spans="1:7">
      <c r="A96" s="216" t="s">
        <v>192</v>
      </c>
      <c r="B96" s="254">
        <v>47</v>
      </c>
      <c r="C96" s="254"/>
      <c r="D96" s="37">
        <f>C96/B96</f>
        <v>0</v>
      </c>
      <c r="E96" s="37">
        <f t="shared" si="5"/>
        <v>-1</v>
      </c>
      <c r="F96" s="254"/>
      <c r="G96" s="255">
        <v>332</v>
      </c>
    </row>
    <row r="97" s="245" customFormat="1" ht="16.5" customHeight="1" spans="1:7">
      <c r="A97" s="253" t="s">
        <v>63</v>
      </c>
      <c r="B97" s="254"/>
      <c r="C97" s="254"/>
      <c r="D97" s="37"/>
      <c r="E97" s="37"/>
      <c r="F97" s="254"/>
      <c r="G97" s="258"/>
    </row>
    <row r="98" s="245" customFormat="1" ht="16.5" customHeight="1" spans="1:7">
      <c r="A98" s="256" t="s">
        <v>193</v>
      </c>
      <c r="B98" s="254"/>
      <c r="C98" s="254"/>
      <c r="D98" s="37"/>
      <c r="E98" s="37"/>
      <c r="F98" s="254"/>
      <c r="G98" s="258"/>
    </row>
    <row r="99" s="245" customFormat="1" ht="16.5" customHeight="1" spans="1:7">
      <c r="A99" s="256" t="s">
        <v>194</v>
      </c>
      <c r="B99" s="254"/>
      <c r="C99" s="254"/>
      <c r="D99" s="37"/>
      <c r="E99" s="37"/>
      <c r="F99" s="254"/>
      <c r="G99" s="258"/>
    </row>
    <row r="100" s="245" customFormat="1" ht="16.5" customHeight="1" spans="1:7">
      <c r="A100" s="253" t="s">
        <v>64</v>
      </c>
      <c r="B100" s="254">
        <f>B101+B102</f>
        <v>186</v>
      </c>
      <c r="C100" s="254">
        <f>C101+C102</f>
        <v>186</v>
      </c>
      <c r="D100" s="37">
        <f>C100/B100</f>
        <v>1</v>
      </c>
      <c r="E100" s="37">
        <f t="shared" si="5"/>
        <v>-0.180616740088106</v>
      </c>
      <c r="F100" s="254"/>
      <c r="G100" s="255">
        <f>G101+G102</f>
        <v>227</v>
      </c>
    </row>
    <row r="101" s="245" customFormat="1" ht="16.5" customHeight="1" spans="1:7">
      <c r="A101" s="257" t="s">
        <v>195</v>
      </c>
      <c r="B101" s="254"/>
      <c r="C101" s="254"/>
      <c r="D101" s="37"/>
      <c r="E101" s="37"/>
      <c r="F101" s="254"/>
      <c r="G101" s="255"/>
    </row>
    <row r="102" s="245" customFormat="1" ht="16.5" customHeight="1" spans="1:7">
      <c r="A102" s="257" t="s">
        <v>196</v>
      </c>
      <c r="B102" s="254">
        <f>SUM(B103)</f>
        <v>186</v>
      </c>
      <c r="C102" s="254">
        <f>SUM(C103)</f>
        <v>186</v>
      </c>
      <c r="D102" s="37">
        <f t="shared" ref="D102:D116" si="7">C102/B102</f>
        <v>1</v>
      </c>
      <c r="E102" s="37">
        <f t="shared" si="5"/>
        <v>-0.180616740088106</v>
      </c>
      <c r="F102" s="254"/>
      <c r="G102" s="255">
        <f>SUM(G103)</f>
        <v>227</v>
      </c>
    </row>
    <row r="103" s="245" customFormat="1" ht="16.5" customHeight="1" spans="1:7">
      <c r="A103" s="216" t="s">
        <v>197</v>
      </c>
      <c r="B103" s="254">
        <v>186</v>
      </c>
      <c r="C103" s="254">
        <v>186</v>
      </c>
      <c r="D103" s="37">
        <f t="shared" si="7"/>
        <v>1</v>
      </c>
      <c r="E103" s="37">
        <f t="shared" si="5"/>
        <v>-0.180616740088106</v>
      </c>
      <c r="F103" s="254"/>
      <c r="G103" s="255">
        <v>227</v>
      </c>
    </row>
    <row r="104" s="245" customFormat="1" ht="16.5" customHeight="1" spans="1:7">
      <c r="A104" s="260" t="s">
        <v>65</v>
      </c>
      <c r="B104" s="254">
        <f>B105+B108+B117+B118+B122+B126+B131+B132+B133+B134+B135</f>
        <v>12552</v>
      </c>
      <c r="C104" s="254">
        <f>C105+C108+C117+C118+C122+C126+C131+C132+C133+C134+C135</f>
        <v>12512</v>
      </c>
      <c r="D104" s="37">
        <f t="shared" si="7"/>
        <v>0.996813256851498</v>
      </c>
      <c r="E104" s="37">
        <f t="shared" si="5"/>
        <v>-0.216629100926622</v>
      </c>
      <c r="F104" s="254"/>
      <c r="G104" s="255">
        <f>G105+G108+G117+G118+G122+G126+G131+G132+G133+G134+G135</f>
        <v>15972</v>
      </c>
    </row>
    <row r="105" s="245" customFormat="1" ht="16.5" customHeight="1" spans="1:7">
      <c r="A105" s="256" t="s">
        <v>198</v>
      </c>
      <c r="B105" s="254">
        <f>SUM(B106:B107)</f>
        <v>585</v>
      </c>
      <c r="C105" s="254">
        <f>SUM(C106:C107)</f>
        <v>585</v>
      </c>
      <c r="D105" s="37">
        <f t="shared" si="7"/>
        <v>1</v>
      </c>
      <c r="E105" s="37">
        <f t="shared" si="5"/>
        <v>-0.00510204081632653</v>
      </c>
      <c r="F105" s="254"/>
      <c r="G105" s="255">
        <f>SUM(G106:G107)</f>
        <v>588</v>
      </c>
    </row>
    <row r="106" s="245" customFormat="1" ht="16.5" customHeight="1" spans="1:7">
      <c r="A106" s="216" t="s">
        <v>199</v>
      </c>
      <c r="B106" s="254">
        <v>12</v>
      </c>
      <c r="C106" s="254">
        <v>12</v>
      </c>
      <c r="D106" s="37">
        <f t="shared" si="7"/>
        <v>1</v>
      </c>
      <c r="E106" s="37">
        <f t="shared" si="5"/>
        <v>0</v>
      </c>
      <c r="F106" s="254"/>
      <c r="G106" s="255">
        <v>12</v>
      </c>
    </row>
    <row r="107" s="245" customFormat="1" ht="16.5" customHeight="1" spans="1:7">
      <c r="A107" s="216" t="s">
        <v>200</v>
      </c>
      <c r="B107" s="254">
        <v>573</v>
      </c>
      <c r="C107" s="254">
        <v>573</v>
      </c>
      <c r="D107" s="37">
        <f t="shared" si="7"/>
        <v>1</v>
      </c>
      <c r="E107" s="37">
        <f t="shared" si="5"/>
        <v>-0.00520833333333333</v>
      </c>
      <c r="F107" s="254"/>
      <c r="G107" s="255">
        <v>576</v>
      </c>
    </row>
    <row r="108" s="245" customFormat="1" ht="16.5" customHeight="1" spans="1:7">
      <c r="A108" s="257" t="s">
        <v>201</v>
      </c>
      <c r="B108" s="254">
        <f>SUM(B109:B116)</f>
        <v>10911</v>
      </c>
      <c r="C108" s="254">
        <f>SUM(C109:C116)</f>
        <v>10911</v>
      </c>
      <c r="D108" s="37">
        <f t="shared" si="7"/>
        <v>1</v>
      </c>
      <c r="E108" s="37">
        <f t="shared" si="5"/>
        <v>-0.0179117911791179</v>
      </c>
      <c r="F108" s="254"/>
      <c r="G108" s="255">
        <f>SUM(G109:G116)</f>
        <v>11110</v>
      </c>
    </row>
    <row r="109" s="245" customFormat="1" ht="16.5" customHeight="1" spans="1:7">
      <c r="A109" s="216" t="s">
        <v>202</v>
      </c>
      <c r="B109" s="261">
        <v>5468</v>
      </c>
      <c r="C109" s="261">
        <v>5468</v>
      </c>
      <c r="D109" s="37">
        <f t="shared" si="7"/>
        <v>1</v>
      </c>
      <c r="E109" s="37">
        <f t="shared" si="5"/>
        <v>-0.297804032361628</v>
      </c>
      <c r="F109" s="254"/>
      <c r="G109" s="262">
        <v>7787</v>
      </c>
    </row>
    <row r="110" s="245" customFormat="1" ht="16.5" customHeight="1" spans="1:7">
      <c r="A110" s="216" t="s">
        <v>203</v>
      </c>
      <c r="B110" s="261">
        <v>1144</v>
      </c>
      <c r="C110" s="261">
        <v>1144</v>
      </c>
      <c r="D110" s="37">
        <f t="shared" si="7"/>
        <v>1</v>
      </c>
      <c r="E110" s="37">
        <f t="shared" si="5"/>
        <v>-0.0197086546700943</v>
      </c>
      <c r="F110" s="254"/>
      <c r="G110" s="262">
        <v>1167</v>
      </c>
    </row>
    <row r="111" s="245" customFormat="1" ht="16.5" customHeight="1" spans="1:7">
      <c r="A111" s="216" t="s">
        <v>204</v>
      </c>
      <c r="B111" s="261"/>
      <c r="C111" s="261"/>
      <c r="D111" s="37"/>
      <c r="E111" s="37">
        <f t="shared" si="5"/>
        <v>-1</v>
      </c>
      <c r="F111" s="254"/>
      <c r="G111" s="262">
        <v>15</v>
      </c>
    </row>
    <row r="112" s="245" customFormat="1" ht="16.5" customHeight="1" spans="1:7">
      <c r="A112" s="216" t="s">
        <v>205</v>
      </c>
      <c r="B112" s="261">
        <v>5</v>
      </c>
      <c r="C112" s="261">
        <v>5</v>
      </c>
      <c r="D112" s="37">
        <f t="shared" si="7"/>
        <v>1</v>
      </c>
      <c r="E112" s="37">
        <f t="shared" si="5"/>
        <v>0</v>
      </c>
      <c r="F112" s="254"/>
      <c r="G112" s="262">
        <v>5</v>
      </c>
    </row>
    <row r="113" s="245" customFormat="1" ht="16.5" customHeight="1" spans="1:7">
      <c r="A113" s="216" t="s">
        <v>206</v>
      </c>
      <c r="B113" s="261">
        <v>1718</v>
      </c>
      <c r="C113" s="261">
        <v>1718</v>
      </c>
      <c r="D113" s="37">
        <f t="shared" si="7"/>
        <v>1</v>
      </c>
      <c r="E113" s="37">
        <f t="shared" si="5"/>
        <v>0.367834394904459</v>
      </c>
      <c r="F113" s="254"/>
      <c r="G113" s="262">
        <v>1256</v>
      </c>
    </row>
    <row r="114" s="245" customFormat="1" ht="16.5" customHeight="1" spans="1:7">
      <c r="A114" s="216" t="s">
        <v>207</v>
      </c>
      <c r="B114" s="261">
        <v>328</v>
      </c>
      <c r="C114" s="261">
        <v>328</v>
      </c>
      <c r="D114" s="37">
        <f t="shared" si="7"/>
        <v>1</v>
      </c>
      <c r="E114" s="37">
        <f t="shared" si="5"/>
        <v>0.407725321888412</v>
      </c>
      <c r="F114" s="254"/>
      <c r="G114" s="262">
        <v>233</v>
      </c>
    </row>
    <row r="115" s="245" customFormat="1" ht="16.5" customHeight="1" spans="1:7">
      <c r="A115" s="216" t="s">
        <v>119</v>
      </c>
      <c r="B115" s="261">
        <v>2240</v>
      </c>
      <c r="C115" s="261">
        <v>2240</v>
      </c>
      <c r="D115" s="37">
        <f t="shared" si="7"/>
        <v>1</v>
      </c>
      <c r="E115" s="37">
        <f t="shared" si="5"/>
        <v>2.49453978159126</v>
      </c>
      <c r="F115" s="254"/>
      <c r="G115" s="262">
        <v>641</v>
      </c>
    </row>
    <row r="116" s="245" customFormat="1" ht="16.5" customHeight="1" spans="1:7">
      <c r="A116" s="216" t="s">
        <v>208</v>
      </c>
      <c r="B116" s="261">
        <v>8</v>
      </c>
      <c r="C116" s="261">
        <v>8</v>
      </c>
      <c r="D116" s="37">
        <f t="shared" si="7"/>
        <v>1</v>
      </c>
      <c r="E116" s="37">
        <f t="shared" si="5"/>
        <v>0.333333333333333</v>
      </c>
      <c r="F116" s="254"/>
      <c r="G116" s="262">
        <v>6</v>
      </c>
    </row>
    <row r="117" s="245" customFormat="1" ht="16.5" customHeight="1" spans="1:7">
      <c r="A117" s="256" t="s">
        <v>209</v>
      </c>
      <c r="B117" s="254"/>
      <c r="C117" s="254"/>
      <c r="D117" s="37"/>
      <c r="E117" s="37"/>
      <c r="F117" s="254"/>
      <c r="G117" s="255"/>
    </row>
    <row r="118" s="245" customFormat="1" ht="16.5" customHeight="1" spans="1:7">
      <c r="A118" s="256" t="s">
        <v>210</v>
      </c>
      <c r="B118" s="254">
        <f>SUM(B119:B121)</f>
        <v>55</v>
      </c>
      <c r="C118" s="254">
        <f>SUM(C119:C121)</f>
        <v>55</v>
      </c>
      <c r="D118" s="37">
        <f t="shared" ref="D118:D123" si="8">C118/B118</f>
        <v>1</v>
      </c>
      <c r="E118" s="37">
        <f t="shared" si="5"/>
        <v>-0.963455149501661</v>
      </c>
      <c r="F118" s="254"/>
      <c r="G118" s="255">
        <f>SUM(G119:G121)</f>
        <v>1505</v>
      </c>
    </row>
    <row r="119" s="245" customFormat="1" ht="16.5" customHeight="1" spans="1:7">
      <c r="A119" s="216" t="s">
        <v>211</v>
      </c>
      <c r="B119" s="254">
        <v>105</v>
      </c>
      <c r="C119" s="254">
        <v>105</v>
      </c>
      <c r="D119" s="37">
        <f t="shared" si="8"/>
        <v>1</v>
      </c>
      <c r="E119" s="37">
        <f t="shared" si="5"/>
        <v>-0.912935323383085</v>
      </c>
      <c r="F119" s="254"/>
      <c r="G119" s="255">
        <v>1206</v>
      </c>
    </row>
    <row r="120" s="245" customFormat="1" ht="16.5" customHeight="1" spans="1:7">
      <c r="A120" s="216" t="s">
        <v>212</v>
      </c>
      <c r="B120" s="254">
        <v>-48</v>
      </c>
      <c r="C120" s="254">
        <v>-48</v>
      </c>
      <c r="D120" s="37">
        <f t="shared" si="8"/>
        <v>1</v>
      </c>
      <c r="E120" s="37">
        <f t="shared" si="5"/>
        <v>-1.21145374449339</v>
      </c>
      <c r="F120" s="254"/>
      <c r="G120" s="255">
        <v>227</v>
      </c>
    </row>
    <row r="121" s="245" customFormat="1" ht="16.5" customHeight="1" spans="1:7">
      <c r="A121" s="216" t="s">
        <v>119</v>
      </c>
      <c r="B121" s="254">
        <v>-2</v>
      </c>
      <c r="C121" s="254">
        <v>-2</v>
      </c>
      <c r="D121" s="37">
        <f t="shared" si="8"/>
        <v>1</v>
      </c>
      <c r="E121" s="37">
        <f t="shared" si="5"/>
        <v>-1.02777777777778</v>
      </c>
      <c r="F121" s="254"/>
      <c r="G121" s="255">
        <v>72</v>
      </c>
    </row>
    <row r="122" s="245" customFormat="1" ht="16.5" customHeight="1" spans="1:7">
      <c r="A122" s="259" t="s">
        <v>213</v>
      </c>
      <c r="B122" s="254">
        <f>SUM(B123:B125)</f>
        <v>-56</v>
      </c>
      <c r="C122" s="254">
        <f>SUM(C123:C125)</f>
        <v>-96</v>
      </c>
      <c r="D122" s="37"/>
      <c r="E122" s="37">
        <f t="shared" si="5"/>
        <v>-1.06037735849057</v>
      </c>
      <c r="F122" s="254"/>
      <c r="G122" s="255">
        <f>SUM(G123:G125)</f>
        <v>1590</v>
      </c>
    </row>
    <row r="123" s="245" customFormat="1" ht="16.5" customHeight="1" spans="1:7">
      <c r="A123" s="216" t="s">
        <v>214</v>
      </c>
      <c r="B123" s="254">
        <v>137</v>
      </c>
      <c r="C123" s="254">
        <v>137</v>
      </c>
      <c r="D123" s="37">
        <f t="shared" si="8"/>
        <v>1</v>
      </c>
      <c r="E123" s="37">
        <f t="shared" si="5"/>
        <v>-0.886212624584718</v>
      </c>
      <c r="F123" s="254"/>
      <c r="G123" s="255">
        <v>1204</v>
      </c>
    </row>
    <row r="124" s="245" customFormat="1" ht="16.5" customHeight="1" spans="1:7">
      <c r="A124" s="216" t="s">
        <v>215</v>
      </c>
      <c r="B124" s="254">
        <v>-193</v>
      </c>
      <c r="C124" s="254">
        <v>-233</v>
      </c>
      <c r="D124" s="37"/>
      <c r="E124" s="37">
        <f t="shared" si="5"/>
        <v>-1.80902777777778</v>
      </c>
      <c r="F124" s="254"/>
      <c r="G124" s="255">
        <v>288</v>
      </c>
    </row>
    <row r="125" s="245" customFormat="1" ht="16.5" customHeight="1" spans="1:7">
      <c r="A125" s="216" t="s">
        <v>119</v>
      </c>
      <c r="B125" s="254"/>
      <c r="C125" s="254"/>
      <c r="D125" s="37"/>
      <c r="E125" s="37">
        <f t="shared" si="5"/>
        <v>-1</v>
      </c>
      <c r="F125" s="254"/>
      <c r="G125" s="255">
        <v>98</v>
      </c>
    </row>
    <row r="126" s="245" customFormat="1" ht="16.5" customHeight="1" spans="1:7">
      <c r="A126" s="256" t="s">
        <v>216</v>
      </c>
      <c r="B126" s="254">
        <f>SUM(B127:B130)</f>
        <v>649</v>
      </c>
      <c r="C126" s="254">
        <f>SUM(C127:C130)</f>
        <v>649</v>
      </c>
      <c r="D126" s="37">
        <f>C126/B126</f>
        <v>1</v>
      </c>
      <c r="E126" s="254"/>
      <c r="F126" s="254">
        <f>SUM(F127:F130)</f>
        <v>0</v>
      </c>
      <c r="G126" s="255">
        <v>738</v>
      </c>
    </row>
    <row r="127" s="245" customFormat="1" ht="16.5" customHeight="1" spans="1:7">
      <c r="A127" s="256" t="s">
        <v>217</v>
      </c>
      <c r="B127" s="254">
        <v>313</v>
      </c>
      <c r="C127" s="254">
        <v>313</v>
      </c>
      <c r="D127" s="37">
        <f>C127/B127</f>
        <v>1</v>
      </c>
      <c r="E127" s="37"/>
      <c r="F127" s="254"/>
      <c r="G127" s="258"/>
    </row>
    <row r="128" s="245" customFormat="1" ht="16.5" customHeight="1" spans="1:7">
      <c r="A128" s="256" t="s">
        <v>218</v>
      </c>
      <c r="B128" s="254">
        <v>73</v>
      </c>
      <c r="C128" s="254">
        <v>73</v>
      </c>
      <c r="D128" s="37">
        <f>C128/B128</f>
        <v>1</v>
      </c>
      <c r="E128" s="37"/>
      <c r="F128" s="254"/>
      <c r="G128" s="258"/>
    </row>
    <row r="129" s="245" customFormat="1" ht="16.5" customHeight="1" spans="1:7">
      <c r="A129" s="256" t="s">
        <v>219</v>
      </c>
      <c r="B129" s="254">
        <v>16</v>
      </c>
      <c r="C129" s="254">
        <v>16</v>
      </c>
      <c r="D129" s="37">
        <f>C129/B129</f>
        <v>1</v>
      </c>
      <c r="E129" s="37"/>
      <c r="F129" s="254"/>
      <c r="G129" s="258"/>
    </row>
    <row r="130" s="245" customFormat="1" ht="16.5" customHeight="1" spans="1:7">
      <c r="A130" s="256" t="s">
        <v>220</v>
      </c>
      <c r="B130" s="254">
        <v>247</v>
      </c>
      <c r="C130" s="254">
        <v>247</v>
      </c>
      <c r="D130" s="37">
        <f>C130/B130</f>
        <v>1</v>
      </c>
      <c r="E130" s="37"/>
      <c r="F130" s="254"/>
      <c r="G130" s="258"/>
    </row>
    <row r="131" s="245" customFormat="1" ht="16.5" customHeight="1" spans="1:7">
      <c r="A131" s="256" t="s">
        <v>221</v>
      </c>
      <c r="B131" s="254"/>
      <c r="C131" s="254"/>
      <c r="D131" s="37"/>
      <c r="E131" s="37"/>
      <c r="F131" s="254"/>
      <c r="G131" s="258"/>
    </row>
    <row r="132" s="245" customFormat="1" ht="16.5" customHeight="1" spans="1:7">
      <c r="A132" s="257" t="s">
        <v>222</v>
      </c>
      <c r="B132" s="254"/>
      <c r="C132" s="254"/>
      <c r="D132" s="37"/>
      <c r="E132" s="37"/>
      <c r="F132" s="254"/>
      <c r="G132" s="258"/>
    </row>
    <row r="133" s="245" customFormat="1" ht="16.5" customHeight="1" spans="1:7">
      <c r="A133" s="259" t="s">
        <v>223</v>
      </c>
      <c r="B133" s="254"/>
      <c r="C133" s="254"/>
      <c r="D133" s="37"/>
      <c r="E133" s="37"/>
      <c r="F133" s="254"/>
      <c r="G133" s="258"/>
    </row>
    <row r="134" s="245" customFormat="1" ht="16.5" customHeight="1" spans="1:7">
      <c r="A134" s="256" t="s">
        <v>224</v>
      </c>
      <c r="B134" s="254"/>
      <c r="C134" s="254"/>
      <c r="D134" s="37"/>
      <c r="E134" s="37"/>
      <c r="F134" s="254"/>
      <c r="G134" s="258"/>
    </row>
    <row r="135" s="245" customFormat="1" ht="16.5" customHeight="1" spans="1:7">
      <c r="A135" s="257" t="s">
        <v>225</v>
      </c>
      <c r="B135" s="254">
        <f>SUM(B136)</f>
        <v>408</v>
      </c>
      <c r="C135" s="254">
        <f>SUM(C136)</f>
        <v>408</v>
      </c>
      <c r="D135" s="37">
        <f t="shared" ref="D135:D150" si="9">C135/B135</f>
        <v>1</v>
      </c>
      <c r="E135" s="37">
        <f t="shared" si="5"/>
        <v>-0.0748299319727891</v>
      </c>
      <c r="F135" s="254"/>
      <c r="G135" s="255">
        <f>SUM(G136)</f>
        <v>441</v>
      </c>
    </row>
    <row r="136" s="245" customFormat="1" ht="16.5" customHeight="1" spans="1:7">
      <c r="A136" s="216" t="s">
        <v>226</v>
      </c>
      <c r="B136" s="254">
        <v>408</v>
      </c>
      <c r="C136" s="254">
        <v>408</v>
      </c>
      <c r="D136" s="37">
        <f t="shared" si="9"/>
        <v>1</v>
      </c>
      <c r="E136" s="37">
        <f t="shared" si="5"/>
        <v>-0.0748299319727891</v>
      </c>
      <c r="F136" s="254"/>
      <c r="G136" s="255">
        <v>441</v>
      </c>
    </row>
    <row r="137" s="245" customFormat="1" ht="16.5" customHeight="1" spans="1:7">
      <c r="A137" s="260" t="s">
        <v>66</v>
      </c>
      <c r="B137" s="254">
        <f>B138+B140+B146+B149+B151+B153+B154+B156+B159+B162</f>
        <v>65050</v>
      </c>
      <c r="C137" s="254">
        <f>C138+C140+C146+C149+C151+C153+C154+C156+C159+C162</f>
        <v>62287</v>
      </c>
      <c r="D137" s="37">
        <f t="shared" si="9"/>
        <v>0.957524980784012</v>
      </c>
      <c r="E137" s="37">
        <f t="shared" ref="E137:E198" si="10">(C137-G137)/G137</f>
        <v>-0.171373837619231</v>
      </c>
      <c r="F137" s="254"/>
      <c r="G137" s="255">
        <f>G138+G140+G146+G149+G151+G153+G154+G156+G159+G162</f>
        <v>75169</v>
      </c>
    </row>
    <row r="138" s="245" customFormat="1" ht="16.5" customHeight="1" spans="1:7">
      <c r="A138" s="257" t="s">
        <v>227</v>
      </c>
      <c r="B138" s="254">
        <f>SUM(B139)</f>
        <v>14</v>
      </c>
      <c r="C138" s="254">
        <f>SUM(C139)</f>
        <v>14</v>
      </c>
      <c r="D138" s="37">
        <f t="shared" si="9"/>
        <v>1</v>
      </c>
      <c r="E138" s="37">
        <f t="shared" si="10"/>
        <v>-0.125</v>
      </c>
      <c r="F138" s="254"/>
      <c r="G138" s="255">
        <v>16</v>
      </c>
    </row>
    <row r="139" s="245" customFormat="1" ht="16.5" customHeight="1" spans="1:7">
      <c r="A139" s="216" t="s">
        <v>228</v>
      </c>
      <c r="B139" s="254">
        <v>14</v>
      </c>
      <c r="C139" s="254">
        <v>14</v>
      </c>
      <c r="D139" s="37">
        <f t="shared" si="9"/>
        <v>1</v>
      </c>
      <c r="E139" s="37">
        <f t="shared" si="10"/>
        <v>-0.125</v>
      </c>
      <c r="F139" s="254"/>
      <c r="G139" s="255">
        <v>16</v>
      </c>
    </row>
    <row r="140" s="245" customFormat="1" ht="16.5" customHeight="1" spans="1:7">
      <c r="A140" s="256" t="s">
        <v>229</v>
      </c>
      <c r="B140" s="254">
        <f>SUM(B141:B145)</f>
        <v>58849</v>
      </c>
      <c r="C140" s="254">
        <f>SUM(C141:C145)</f>
        <v>58027</v>
      </c>
      <c r="D140" s="37">
        <f t="shared" si="9"/>
        <v>0.986032048123163</v>
      </c>
      <c r="E140" s="37">
        <f t="shared" si="10"/>
        <v>-0.109783225687679</v>
      </c>
      <c r="F140" s="254"/>
      <c r="G140" s="255">
        <f>SUM(G141:G145)</f>
        <v>65183</v>
      </c>
    </row>
    <row r="141" s="245" customFormat="1" ht="16.5" customHeight="1" spans="1:7">
      <c r="A141" s="216" t="s">
        <v>230</v>
      </c>
      <c r="B141" s="254">
        <v>2132</v>
      </c>
      <c r="C141" s="254">
        <v>1711</v>
      </c>
      <c r="D141" s="37">
        <f t="shared" si="9"/>
        <v>0.802532833020638</v>
      </c>
      <c r="E141" s="37">
        <f t="shared" si="10"/>
        <v>-0.154644268774704</v>
      </c>
      <c r="F141" s="254"/>
      <c r="G141" s="255">
        <v>2024</v>
      </c>
    </row>
    <row r="142" s="245" customFormat="1" ht="16.5" customHeight="1" spans="1:7">
      <c r="A142" s="216" t="s">
        <v>231</v>
      </c>
      <c r="B142" s="254">
        <v>21119</v>
      </c>
      <c r="C142" s="254">
        <v>21120</v>
      </c>
      <c r="D142" s="37">
        <f t="shared" si="9"/>
        <v>1.00004735072683</v>
      </c>
      <c r="E142" s="37">
        <f t="shared" si="10"/>
        <v>-0.2</v>
      </c>
      <c r="F142" s="254"/>
      <c r="G142" s="255">
        <v>26400</v>
      </c>
    </row>
    <row r="143" s="245" customFormat="1" ht="16.5" customHeight="1" spans="1:7">
      <c r="A143" s="216" t="s">
        <v>232</v>
      </c>
      <c r="B143" s="254">
        <v>18832</v>
      </c>
      <c r="C143" s="254">
        <v>18832</v>
      </c>
      <c r="D143" s="37">
        <f t="shared" si="9"/>
        <v>1</v>
      </c>
      <c r="E143" s="37">
        <f t="shared" si="10"/>
        <v>-0.137254901960784</v>
      </c>
      <c r="F143" s="254"/>
      <c r="G143" s="255">
        <v>21828</v>
      </c>
    </row>
    <row r="144" s="245" customFormat="1" ht="16.5" customHeight="1" spans="1:7">
      <c r="A144" s="216" t="s">
        <v>233</v>
      </c>
      <c r="B144" s="254">
        <v>10970</v>
      </c>
      <c r="C144" s="254">
        <v>10970</v>
      </c>
      <c r="D144" s="37">
        <f t="shared" si="9"/>
        <v>1</v>
      </c>
      <c r="E144" s="37">
        <f t="shared" si="10"/>
        <v>-0.0669388449434379</v>
      </c>
      <c r="F144" s="254"/>
      <c r="G144" s="255">
        <v>11757</v>
      </c>
    </row>
    <row r="145" s="245" customFormat="1" ht="16.5" customHeight="1" spans="1:7">
      <c r="A145" s="216" t="s">
        <v>234</v>
      </c>
      <c r="B145" s="254">
        <v>5796</v>
      </c>
      <c r="C145" s="254">
        <v>5394</v>
      </c>
      <c r="D145" s="37">
        <f t="shared" si="9"/>
        <v>0.93064182194617</v>
      </c>
      <c r="E145" s="37">
        <f t="shared" si="10"/>
        <v>0.699432892249527</v>
      </c>
      <c r="F145" s="254"/>
      <c r="G145" s="255">
        <v>3174</v>
      </c>
    </row>
    <row r="146" s="245" customFormat="1" ht="16.5" customHeight="1" spans="1:7">
      <c r="A146" s="256" t="s">
        <v>235</v>
      </c>
      <c r="B146" s="254">
        <f>SUM(B147:B148)</f>
        <v>831</v>
      </c>
      <c r="C146" s="254">
        <f>SUM(C147:C148)</f>
        <v>589</v>
      </c>
      <c r="D146" s="37">
        <f t="shared" si="9"/>
        <v>0.70878459687124</v>
      </c>
      <c r="E146" s="37">
        <f t="shared" si="10"/>
        <v>-0.797385620915033</v>
      </c>
      <c r="F146" s="254"/>
      <c r="G146" s="255">
        <f>SUM(G147:G148)</f>
        <v>2907</v>
      </c>
    </row>
    <row r="147" s="245" customFormat="1" ht="16.5" customHeight="1" spans="1:7">
      <c r="A147" s="216" t="s">
        <v>236</v>
      </c>
      <c r="B147" s="254">
        <v>1057</v>
      </c>
      <c r="C147" s="254">
        <v>1057</v>
      </c>
      <c r="D147" s="37">
        <f t="shared" si="9"/>
        <v>1</v>
      </c>
      <c r="E147" s="37">
        <f t="shared" si="10"/>
        <v>-0.34793337446021</v>
      </c>
      <c r="F147" s="254"/>
      <c r="G147" s="255">
        <v>1621</v>
      </c>
    </row>
    <row r="148" s="245" customFormat="1" ht="16.5" customHeight="1" spans="1:7">
      <c r="A148" s="216" t="s">
        <v>237</v>
      </c>
      <c r="B148" s="254">
        <v>-226</v>
      </c>
      <c r="C148" s="254">
        <v>-468</v>
      </c>
      <c r="D148" s="37"/>
      <c r="E148" s="37">
        <f t="shared" si="10"/>
        <v>-1.36391912908243</v>
      </c>
      <c r="F148" s="254"/>
      <c r="G148" s="255">
        <v>1286</v>
      </c>
    </row>
    <row r="149" s="245" customFormat="1" ht="16.5" customHeight="1" spans="1:7">
      <c r="A149" s="259" t="s">
        <v>238</v>
      </c>
      <c r="B149" s="254">
        <f t="shared" ref="B149:G149" si="11">SUM(B150)</f>
        <v>18</v>
      </c>
      <c r="C149" s="254">
        <f t="shared" si="11"/>
        <v>18</v>
      </c>
      <c r="D149" s="37">
        <f t="shared" si="9"/>
        <v>1</v>
      </c>
      <c r="E149" s="37">
        <f t="shared" si="10"/>
        <v>-0.379310344827586</v>
      </c>
      <c r="F149" s="254">
        <f t="shared" si="11"/>
        <v>0</v>
      </c>
      <c r="G149" s="255">
        <f t="shared" si="11"/>
        <v>29</v>
      </c>
    </row>
    <row r="150" s="245" customFormat="1" ht="16.5" customHeight="1" spans="1:7">
      <c r="A150" s="216" t="s">
        <v>239</v>
      </c>
      <c r="B150" s="254">
        <v>18</v>
      </c>
      <c r="C150" s="254">
        <v>18</v>
      </c>
      <c r="D150" s="37">
        <f t="shared" si="9"/>
        <v>1</v>
      </c>
      <c r="E150" s="37">
        <f t="shared" si="10"/>
        <v>-0.379310344827586</v>
      </c>
      <c r="F150" s="254"/>
      <c r="G150" s="255">
        <v>29</v>
      </c>
    </row>
    <row r="151" s="245" customFormat="1" ht="16.5" customHeight="1" spans="1:7">
      <c r="A151" s="257" t="s">
        <v>240</v>
      </c>
      <c r="B151" s="254"/>
      <c r="C151" s="254"/>
      <c r="D151" s="37"/>
      <c r="E151" s="37">
        <f t="shared" si="10"/>
        <v>-1</v>
      </c>
      <c r="F151" s="254"/>
      <c r="G151" s="255">
        <v>-1</v>
      </c>
    </row>
    <row r="152" s="245" customFormat="1" ht="16.5" customHeight="1" spans="1:7">
      <c r="A152" s="216" t="s">
        <v>241</v>
      </c>
      <c r="B152" s="254"/>
      <c r="C152" s="254"/>
      <c r="D152" s="37"/>
      <c r="E152" s="37">
        <f t="shared" si="10"/>
        <v>-1</v>
      </c>
      <c r="F152" s="254"/>
      <c r="G152" s="255">
        <v>-1</v>
      </c>
    </row>
    <row r="153" s="245" customFormat="1" ht="16.5" customHeight="1" spans="1:7">
      <c r="A153" s="257" t="s">
        <v>242</v>
      </c>
      <c r="B153" s="254"/>
      <c r="C153" s="254"/>
      <c r="D153" s="37"/>
      <c r="E153" s="37"/>
      <c r="F153" s="254"/>
      <c r="G153" s="255"/>
    </row>
    <row r="154" s="245" customFormat="1" ht="16.5" customHeight="1" spans="1:7">
      <c r="A154" s="256" t="s">
        <v>243</v>
      </c>
      <c r="B154" s="254">
        <f>SUM(B155)</f>
        <v>124</v>
      </c>
      <c r="C154" s="254">
        <f>SUM(C155)</f>
        <v>124</v>
      </c>
      <c r="D154" s="37">
        <f t="shared" ref="D154:D166" si="12">C154/B154</f>
        <v>1</v>
      </c>
      <c r="E154" s="37">
        <f t="shared" si="10"/>
        <v>-0.431192660550459</v>
      </c>
      <c r="F154" s="254"/>
      <c r="G154" s="255">
        <f>SUM(G155)</f>
        <v>218</v>
      </c>
    </row>
    <row r="155" s="245" customFormat="1" ht="16.5" customHeight="1" spans="1:7">
      <c r="A155" s="216" t="s">
        <v>244</v>
      </c>
      <c r="B155" s="254">
        <v>124</v>
      </c>
      <c r="C155" s="254">
        <v>124</v>
      </c>
      <c r="D155" s="37">
        <f t="shared" si="12"/>
        <v>1</v>
      </c>
      <c r="E155" s="37">
        <f t="shared" si="10"/>
        <v>-0.431192660550459</v>
      </c>
      <c r="F155" s="254"/>
      <c r="G155" s="255">
        <v>218</v>
      </c>
    </row>
    <row r="156" s="245" customFormat="1" ht="16.5" customHeight="1" spans="1:7">
      <c r="A156" s="257" t="s">
        <v>245</v>
      </c>
      <c r="B156" s="254">
        <f>SUM(B157:B158)</f>
        <v>590</v>
      </c>
      <c r="C156" s="254">
        <f>SUM(C157:C158)</f>
        <v>590</v>
      </c>
      <c r="D156" s="37">
        <f t="shared" si="12"/>
        <v>1</v>
      </c>
      <c r="E156" s="37">
        <f t="shared" si="10"/>
        <v>-0.180555555555556</v>
      </c>
      <c r="F156" s="254"/>
      <c r="G156" s="255">
        <f>SUM(G157:G158)</f>
        <v>720</v>
      </c>
    </row>
    <row r="157" s="245" customFormat="1" ht="16.5" customHeight="1" spans="1:7">
      <c r="A157" s="216" t="s">
        <v>246</v>
      </c>
      <c r="B157" s="254">
        <v>107</v>
      </c>
      <c r="C157" s="254">
        <v>107</v>
      </c>
      <c r="D157" s="37">
        <f t="shared" si="12"/>
        <v>1</v>
      </c>
      <c r="E157" s="37">
        <f t="shared" si="10"/>
        <v>-0.347560975609756</v>
      </c>
      <c r="F157" s="254"/>
      <c r="G157" s="255">
        <v>164</v>
      </c>
    </row>
    <row r="158" s="245" customFormat="1" ht="16.5" customHeight="1" spans="1:7">
      <c r="A158" s="216" t="s">
        <v>247</v>
      </c>
      <c r="B158" s="254">
        <v>483</v>
      </c>
      <c r="C158" s="254">
        <v>483</v>
      </c>
      <c r="D158" s="37">
        <f t="shared" si="12"/>
        <v>1</v>
      </c>
      <c r="E158" s="37">
        <f t="shared" si="10"/>
        <v>-0.131294964028777</v>
      </c>
      <c r="F158" s="254"/>
      <c r="G158" s="255">
        <v>556</v>
      </c>
    </row>
    <row r="159" s="245" customFormat="1" ht="16.5" customHeight="1" spans="1:7">
      <c r="A159" s="256" t="s">
        <v>248</v>
      </c>
      <c r="B159" s="254">
        <f>SUM(B160:B161)</f>
        <v>4034</v>
      </c>
      <c r="C159" s="254">
        <f>SUM(C160:C161)</f>
        <v>2845</v>
      </c>
      <c r="D159" s="37">
        <f t="shared" si="12"/>
        <v>0.705255329697571</v>
      </c>
      <c r="E159" s="37">
        <f t="shared" si="10"/>
        <v>-0.532917419142998</v>
      </c>
      <c r="F159" s="254"/>
      <c r="G159" s="255">
        <f>SUM(G160:G161)</f>
        <v>6091</v>
      </c>
    </row>
    <row r="160" s="245" customFormat="1" ht="16.5" customHeight="1" spans="1:7">
      <c r="A160" s="216" t="s">
        <v>249</v>
      </c>
      <c r="B160" s="254">
        <v>762</v>
      </c>
      <c r="C160" s="254">
        <v>762</v>
      </c>
      <c r="D160" s="37">
        <f t="shared" si="12"/>
        <v>1</v>
      </c>
      <c r="E160" s="37">
        <f t="shared" si="10"/>
        <v>1.22157434402332</v>
      </c>
      <c r="F160" s="254"/>
      <c r="G160" s="255">
        <v>343</v>
      </c>
    </row>
    <row r="161" s="245" customFormat="1" ht="16.5" customHeight="1" spans="1:7">
      <c r="A161" s="216" t="s">
        <v>250</v>
      </c>
      <c r="B161" s="254">
        <v>3272</v>
      </c>
      <c r="C161" s="254">
        <v>2083</v>
      </c>
      <c r="D161" s="37">
        <f t="shared" si="12"/>
        <v>0.63661369193154</v>
      </c>
      <c r="E161" s="37">
        <f t="shared" si="10"/>
        <v>-0.637613082811413</v>
      </c>
      <c r="F161" s="254"/>
      <c r="G161" s="255">
        <v>5748</v>
      </c>
    </row>
    <row r="162" s="245" customFormat="1" ht="16.5" customHeight="1" spans="1:7">
      <c r="A162" s="256" t="s">
        <v>251</v>
      </c>
      <c r="B162" s="254">
        <f>SUM(B163)</f>
        <v>590</v>
      </c>
      <c r="C162" s="254">
        <f>SUM(C163)</f>
        <v>80</v>
      </c>
      <c r="D162" s="37">
        <f t="shared" si="12"/>
        <v>0.135593220338983</v>
      </c>
      <c r="E162" s="37">
        <f t="shared" si="10"/>
        <v>12.3333333333333</v>
      </c>
      <c r="F162" s="254"/>
      <c r="G162" s="255">
        <v>6</v>
      </c>
    </row>
    <row r="163" s="245" customFormat="1" ht="16.5" customHeight="1" spans="1:7">
      <c r="A163" s="216" t="s">
        <v>252</v>
      </c>
      <c r="B163" s="254">
        <v>590</v>
      </c>
      <c r="C163" s="254">
        <v>80</v>
      </c>
      <c r="D163" s="37">
        <f t="shared" si="12"/>
        <v>0.135593220338983</v>
      </c>
      <c r="E163" s="37">
        <f t="shared" si="10"/>
        <v>12.3333333333333</v>
      </c>
      <c r="F163" s="254"/>
      <c r="G163" s="255">
        <v>6</v>
      </c>
    </row>
    <row r="164" s="245" customFormat="1" ht="16.5" customHeight="1" spans="1:7">
      <c r="A164" s="260" t="s">
        <v>67</v>
      </c>
      <c r="B164" s="254">
        <f>B165+B167+B168+B169+B173+B175+B176+B180+B181+B182</f>
        <v>1638</v>
      </c>
      <c r="C164" s="254">
        <f>C165+C167+C168+C169+C173+C175+C176+C180+C181+C182</f>
        <v>1638</v>
      </c>
      <c r="D164" s="37">
        <f t="shared" si="12"/>
        <v>1</v>
      </c>
      <c r="E164" s="37">
        <f t="shared" si="10"/>
        <v>4.18354430379747</v>
      </c>
      <c r="F164" s="254"/>
      <c r="G164" s="255">
        <f>G165+G167+G168+G169+G173+G175+G176+G180+G181+G182</f>
        <v>316</v>
      </c>
    </row>
    <row r="165" s="245" customFormat="1" ht="16.5" customHeight="1" spans="1:7">
      <c r="A165" s="257" t="s">
        <v>253</v>
      </c>
      <c r="B165" s="254">
        <f>SUM(B166)</f>
        <v>77</v>
      </c>
      <c r="C165" s="254">
        <f>SUM(C166)</f>
        <v>77</v>
      </c>
      <c r="D165" s="37">
        <f t="shared" si="12"/>
        <v>1</v>
      </c>
      <c r="E165" s="37">
        <f t="shared" si="10"/>
        <v>-0.266666666666667</v>
      </c>
      <c r="F165" s="254"/>
      <c r="G165" s="255">
        <f>SUM(G166)</f>
        <v>105</v>
      </c>
    </row>
    <row r="166" s="245" customFormat="1" ht="16.5" customHeight="1" spans="1:7">
      <c r="A166" s="216" t="s">
        <v>254</v>
      </c>
      <c r="B166" s="254">
        <v>77</v>
      </c>
      <c r="C166" s="254">
        <v>77</v>
      </c>
      <c r="D166" s="37">
        <f t="shared" si="12"/>
        <v>1</v>
      </c>
      <c r="E166" s="37">
        <f t="shared" si="10"/>
        <v>-0.266666666666667</v>
      </c>
      <c r="F166" s="254"/>
      <c r="G166" s="255">
        <v>105</v>
      </c>
    </row>
    <row r="167" s="245" customFormat="1" ht="16.5" customHeight="1" spans="1:7">
      <c r="A167" s="256" t="s">
        <v>255</v>
      </c>
      <c r="B167" s="254"/>
      <c r="C167" s="254"/>
      <c r="D167" s="37"/>
      <c r="E167" s="37"/>
      <c r="F167" s="254"/>
      <c r="G167" s="255"/>
    </row>
    <row r="168" s="245" customFormat="1" ht="16.5" customHeight="1" spans="1:7">
      <c r="A168" s="257" t="s">
        <v>256</v>
      </c>
      <c r="B168" s="254"/>
      <c r="C168" s="254"/>
      <c r="D168" s="37"/>
      <c r="E168" s="37"/>
      <c r="F168" s="254"/>
      <c r="G168" s="255"/>
    </row>
    <row r="169" s="245" customFormat="1" ht="16.5" customHeight="1" spans="1:7">
      <c r="A169" s="257" t="s">
        <v>257</v>
      </c>
      <c r="B169" s="254">
        <f>SUM(B170:B172)</f>
        <v>70</v>
      </c>
      <c r="C169" s="254">
        <f>SUM(C170:C172)</f>
        <v>70</v>
      </c>
      <c r="D169" s="37">
        <f>C169/B169</f>
        <v>1</v>
      </c>
      <c r="E169" s="37">
        <f t="shared" si="10"/>
        <v>-0.548387096774194</v>
      </c>
      <c r="F169" s="254"/>
      <c r="G169" s="255">
        <f>SUM(G170:G172)</f>
        <v>155</v>
      </c>
    </row>
    <row r="170" s="245" customFormat="1" ht="16.5" customHeight="1" spans="1:7">
      <c r="A170" s="216" t="s">
        <v>258</v>
      </c>
      <c r="B170" s="254">
        <v>2</v>
      </c>
      <c r="C170" s="254">
        <v>2</v>
      </c>
      <c r="D170" s="37">
        <f>C170/B170</f>
        <v>1</v>
      </c>
      <c r="E170" s="37"/>
      <c r="F170" s="254"/>
      <c r="G170" s="255"/>
    </row>
    <row r="171" s="245" customFormat="1" ht="16.5" customHeight="1" spans="1:7">
      <c r="A171" s="216" t="s">
        <v>259</v>
      </c>
      <c r="B171" s="254"/>
      <c r="C171" s="254"/>
      <c r="D171" s="37"/>
      <c r="E171" s="37"/>
      <c r="F171" s="254"/>
      <c r="G171" s="255"/>
    </row>
    <row r="172" s="245" customFormat="1" ht="16.5" customHeight="1" spans="1:7">
      <c r="A172" s="216" t="s">
        <v>260</v>
      </c>
      <c r="B172" s="254">
        <v>68</v>
      </c>
      <c r="C172" s="254">
        <v>68</v>
      </c>
      <c r="D172" s="37">
        <f>C172/B172</f>
        <v>1</v>
      </c>
      <c r="E172" s="37">
        <f t="shared" si="10"/>
        <v>-0.561290322580645</v>
      </c>
      <c r="F172" s="254"/>
      <c r="G172" s="255">
        <v>155</v>
      </c>
    </row>
    <row r="173" s="245" customFormat="1" ht="16.5" customHeight="1" spans="1:7">
      <c r="A173" s="257" t="s">
        <v>261</v>
      </c>
      <c r="B173" s="254">
        <f>SUM(B174)</f>
        <v>178</v>
      </c>
      <c r="C173" s="254">
        <f>SUM(C174)</f>
        <v>178</v>
      </c>
      <c r="D173" s="37">
        <f>C173/B173</f>
        <v>1</v>
      </c>
      <c r="E173" s="37"/>
      <c r="F173" s="254"/>
      <c r="G173" s="255">
        <f>SUM(G174)</f>
        <v>0</v>
      </c>
    </row>
    <row r="174" s="245" customFormat="1" ht="16.5" customHeight="1" spans="1:7">
      <c r="A174" s="216" t="s">
        <v>262</v>
      </c>
      <c r="B174" s="254">
        <v>178</v>
      </c>
      <c r="C174" s="254">
        <v>178</v>
      </c>
      <c r="D174" s="37">
        <f>C174/B174</f>
        <v>1</v>
      </c>
      <c r="E174" s="37"/>
      <c r="F174" s="254"/>
      <c r="G174" s="255"/>
    </row>
    <row r="175" s="245" customFormat="1" ht="16.5" customHeight="1" spans="1:7">
      <c r="A175" s="257" t="s">
        <v>263</v>
      </c>
      <c r="B175" s="254"/>
      <c r="C175" s="254"/>
      <c r="D175" s="37"/>
      <c r="E175" s="37"/>
      <c r="F175" s="254"/>
      <c r="G175" s="255"/>
    </row>
    <row r="176" s="245" customFormat="1" ht="16.5" customHeight="1" spans="1:7">
      <c r="A176" s="256" t="s">
        <v>264</v>
      </c>
      <c r="B176" s="254">
        <f>SUM(B177:B179)</f>
        <v>89</v>
      </c>
      <c r="C176" s="254">
        <f>SUM(C177:C179)</f>
        <v>89</v>
      </c>
      <c r="D176" s="37">
        <f>C176/B176</f>
        <v>1</v>
      </c>
      <c r="E176" s="37">
        <f t="shared" si="10"/>
        <v>-0.18348623853211</v>
      </c>
      <c r="F176" s="254"/>
      <c r="G176" s="255">
        <f>SUM(G177:G179)</f>
        <v>109</v>
      </c>
    </row>
    <row r="177" s="245" customFormat="1" ht="16.5" customHeight="1" spans="1:7">
      <c r="A177" s="216" t="s">
        <v>265</v>
      </c>
      <c r="B177" s="254">
        <v>89</v>
      </c>
      <c r="C177" s="254">
        <v>89</v>
      </c>
      <c r="D177" s="37">
        <f>C177/B177</f>
        <v>1</v>
      </c>
      <c r="E177" s="37">
        <f t="shared" si="10"/>
        <v>-0.18348623853211</v>
      </c>
      <c r="F177" s="254"/>
      <c r="G177" s="255">
        <v>109</v>
      </c>
    </row>
    <row r="178" s="245" customFormat="1" ht="16.5" customHeight="1" spans="1:7">
      <c r="A178" s="216" t="s">
        <v>266</v>
      </c>
      <c r="B178" s="254"/>
      <c r="C178" s="254"/>
      <c r="D178" s="37"/>
      <c r="E178" s="37"/>
      <c r="F178" s="254"/>
      <c r="G178" s="255"/>
    </row>
    <row r="179" s="245" customFormat="1" ht="16.5" customHeight="1" spans="1:7">
      <c r="A179" s="216" t="s">
        <v>267</v>
      </c>
      <c r="B179" s="254"/>
      <c r="C179" s="254"/>
      <c r="D179" s="37"/>
      <c r="E179" s="37"/>
      <c r="F179" s="254"/>
      <c r="G179" s="255"/>
    </row>
    <row r="180" s="245" customFormat="1" ht="16.5" customHeight="1" spans="1:7">
      <c r="A180" s="256" t="s">
        <v>268</v>
      </c>
      <c r="B180" s="254"/>
      <c r="C180" s="254"/>
      <c r="D180" s="37"/>
      <c r="E180" s="37"/>
      <c r="F180" s="254"/>
      <c r="G180" s="255"/>
    </row>
    <row r="181" s="245" customFormat="1" ht="16.5" customHeight="1" spans="1:7">
      <c r="A181" s="259" t="s">
        <v>269</v>
      </c>
      <c r="B181" s="254"/>
      <c r="C181" s="254"/>
      <c r="D181" s="37"/>
      <c r="E181" s="37"/>
      <c r="F181" s="254"/>
      <c r="G181" s="255"/>
    </row>
    <row r="182" s="245" customFormat="1" ht="16.5" customHeight="1" spans="1:7">
      <c r="A182" s="256" t="s">
        <v>270</v>
      </c>
      <c r="B182" s="254">
        <f>SUM(B183)</f>
        <v>1224</v>
      </c>
      <c r="C182" s="254">
        <f>SUM(C183)</f>
        <v>1224</v>
      </c>
      <c r="D182" s="37">
        <f t="shared" ref="D182:D230" si="13">C182/B182</f>
        <v>1</v>
      </c>
      <c r="E182" s="37"/>
      <c r="F182" s="254"/>
      <c r="G182" s="255">
        <f>SUM(G183)</f>
        <v>-53</v>
      </c>
    </row>
    <row r="183" s="245" customFormat="1" ht="16.5" customHeight="1" spans="1:7">
      <c r="A183" s="216" t="s">
        <v>271</v>
      </c>
      <c r="B183" s="254">
        <v>1224</v>
      </c>
      <c r="C183" s="254">
        <v>1224</v>
      </c>
      <c r="D183" s="37">
        <f t="shared" si="13"/>
        <v>1</v>
      </c>
      <c r="E183" s="37"/>
      <c r="F183" s="254"/>
      <c r="G183" s="255">
        <v>-53</v>
      </c>
    </row>
    <row r="184" s="245" customFormat="1" ht="16.5" customHeight="1" spans="1:7">
      <c r="A184" s="253" t="s">
        <v>68</v>
      </c>
      <c r="B184" s="254">
        <f>B185+B195+B199+B203+B209</f>
        <v>3826</v>
      </c>
      <c r="C184" s="254">
        <f>C185+C195+C199+C203+C209</f>
        <v>3826</v>
      </c>
      <c r="D184" s="37">
        <f t="shared" si="13"/>
        <v>1</v>
      </c>
      <c r="E184" s="37">
        <f t="shared" si="10"/>
        <v>-0.172756756756757</v>
      </c>
      <c r="F184" s="254"/>
      <c r="G184" s="255">
        <f>G185+G195+G199+G203+G209</f>
        <v>4625</v>
      </c>
    </row>
    <row r="185" s="245" customFormat="1" ht="16.5" customHeight="1" spans="1:7">
      <c r="A185" s="259" t="s">
        <v>272</v>
      </c>
      <c r="B185" s="254">
        <f>SUM(B186:B194)</f>
        <v>1511</v>
      </c>
      <c r="C185" s="254">
        <f>SUM(C186:C194)</f>
        <v>1511</v>
      </c>
      <c r="D185" s="37">
        <f t="shared" si="13"/>
        <v>1</v>
      </c>
      <c r="E185" s="37">
        <f t="shared" si="10"/>
        <v>-0.19542066027689</v>
      </c>
      <c r="F185" s="254"/>
      <c r="G185" s="255">
        <f>SUM(G186:G194)</f>
        <v>1878</v>
      </c>
    </row>
    <row r="186" s="245" customFormat="1" ht="16.5" customHeight="1" spans="1:7">
      <c r="A186" s="216" t="s">
        <v>273</v>
      </c>
      <c r="B186" s="254">
        <v>85</v>
      </c>
      <c r="C186" s="254">
        <v>85</v>
      </c>
      <c r="D186" s="37">
        <f t="shared" si="13"/>
        <v>1</v>
      </c>
      <c r="E186" s="37">
        <f t="shared" si="10"/>
        <v>-0.220183486238532</v>
      </c>
      <c r="F186" s="254"/>
      <c r="G186" s="255">
        <v>109</v>
      </c>
    </row>
    <row r="187" s="245" customFormat="1" ht="16.5" customHeight="1" spans="1:7">
      <c r="A187" s="216" t="s">
        <v>274</v>
      </c>
      <c r="B187" s="254">
        <v>174</v>
      </c>
      <c r="C187" s="254">
        <v>174</v>
      </c>
      <c r="D187" s="37">
        <f t="shared" si="13"/>
        <v>1</v>
      </c>
      <c r="E187" s="37">
        <f t="shared" si="10"/>
        <v>-0.121212121212121</v>
      </c>
      <c r="F187" s="254"/>
      <c r="G187" s="255">
        <v>198</v>
      </c>
    </row>
    <row r="188" s="245" customFormat="1" ht="16.5" customHeight="1" spans="1:7">
      <c r="A188" s="216" t="s">
        <v>275</v>
      </c>
      <c r="B188" s="254">
        <v>41</v>
      </c>
      <c r="C188" s="254">
        <v>41</v>
      </c>
      <c r="D188" s="37">
        <f t="shared" si="13"/>
        <v>1</v>
      </c>
      <c r="E188" s="37">
        <f t="shared" si="10"/>
        <v>0.0512820512820513</v>
      </c>
      <c r="F188" s="254"/>
      <c r="G188" s="255">
        <v>39</v>
      </c>
    </row>
    <row r="189" s="245" customFormat="1" ht="16.5" customHeight="1" spans="1:7">
      <c r="A189" s="216" t="s">
        <v>276</v>
      </c>
      <c r="B189" s="254">
        <v>520</v>
      </c>
      <c r="C189" s="254">
        <v>520</v>
      </c>
      <c r="D189" s="37">
        <f t="shared" si="13"/>
        <v>1</v>
      </c>
      <c r="E189" s="37">
        <f t="shared" si="10"/>
        <v>-0.17329093799682</v>
      </c>
      <c r="F189" s="254"/>
      <c r="G189" s="255">
        <v>629</v>
      </c>
    </row>
    <row r="190" s="245" customFormat="1" ht="16.5" customHeight="1" spans="1:7">
      <c r="A190" s="216" t="s">
        <v>277</v>
      </c>
      <c r="B190" s="254">
        <v>20</v>
      </c>
      <c r="C190" s="254">
        <v>20</v>
      </c>
      <c r="D190" s="37">
        <f t="shared" si="13"/>
        <v>1</v>
      </c>
      <c r="E190" s="37"/>
      <c r="F190" s="254"/>
      <c r="G190" s="263"/>
    </row>
    <row r="191" s="245" customFormat="1" ht="16.5" customHeight="1" spans="1:7">
      <c r="A191" s="216" t="s">
        <v>278</v>
      </c>
      <c r="B191" s="254">
        <v>232</v>
      </c>
      <c r="C191" s="254">
        <v>232</v>
      </c>
      <c r="D191" s="37">
        <f t="shared" si="13"/>
        <v>1</v>
      </c>
      <c r="E191" s="37">
        <f t="shared" si="10"/>
        <v>-0.072</v>
      </c>
      <c r="F191" s="254"/>
      <c r="G191" s="255">
        <v>250</v>
      </c>
    </row>
    <row r="192" s="245" customFormat="1" ht="16.5" customHeight="1" spans="1:7">
      <c r="A192" s="216" t="s">
        <v>279</v>
      </c>
      <c r="B192" s="254">
        <v>220</v>
      </c>
      <c r="C192" s="254">
        <v>220</v>
      </c>
      <c r="D192" s="37">
        <f t="shared" si="13"/>
        <v>1</v>
      </c>
      <c r="E192" s="37">
        <f t="shared" si="10"/>
        <v>-0.323076923076923</v>
      </c>
      <c r="F192" s="254"/>
      <c r="G192" s="255">
        <v>325</v>
      </c>
    </row>
    <row r="193" s="245" customFormat="1" ht="16.5" customHeight="1" spans="1:7">
      <c r="A193" s="216" t="s">
        <v>280</v>
      </c>
      <c r="B193" s="254">
        <v>187</v>
      </c>
      <c r="C193" s="254">
        <v>187</v>
      </c>
      <c r="D193" s="37">
        <f t="shared" si="13"/>
        <v>1</v>
      </c>
      <c r="E193" s="37">
        <f t="shared" si="10"/>
        <v>-0.117924528301887</v>
      </c>
      <c r="F193" s="254"/>
      <c r="G193" s="255">
        <v>212</v>
      </c>
    </row>
    <row r="194" s="245" customFormat="1" ht="16.5" customHeight="1" spans="1:7">
      <c r="A194" s="216" t="s">
        <v>281</v>
      </c>
      <c r="B194" s="264">
        <v>32</v>
      </c>
      <c r="C194" s="254">
        <v>32</v>
      </c>
      <c r="D194" s="37">
        <f t="shared" si="13"/>
        <v>1</v>
      </c>
      <c r="E194" s="37">
        <f t="shared" si="10"/>
        <v>-0.724137931034483</v>
      </c>
      <c r="F194" s="254"/>
      <c r="G194" s="255">
        <v>116</v>
      </c>
    </row>
    <row r="195" s="245" customFormat="1" ht="16.5" customHeight="1" spans="1:7">
      <c r="A195" s="259" t="s">
        <v>282</v>
      </c>
      <c r="B195" s="254">
        <f>SUM(B196:B198)</f>
        <v>649</v>
      </c>
      <c r="C195" s="254">
        <f>SUM(C196:C198)</f>
        <v>649</v>
      </c>
      <c r="D195" s="37">
        <f t="shared" si="13"/>
        <v>1</v>
      </c>
      <c r="E195" s="37">
        <f t="shared" si="10"/>
        <v>0.282608695652174</v>
      </c>
      <c r="F195" s="254"/>
      <c r="G195" s="255">
        <f>SUM(G196:G198)</f>
        <v>506</v>
      </c>
    </row>
    <row r="196" s="245" customFormat="1" ht="16.5" customHeight="1" spans="1:7">
      <c r="A196" s="216" t="s">
        <v>283</v>
      </c>
      <c r="B196" s="254">
        <v>305</v>
      </c>
      <c r="C196" s="254">
        <v>305</v>
      </c>
      <c r="D196" s="37">
        <f t="shared" si="13"/>
        <v>1</v>
      </c>
      <c r="E196" s="37">
        <f t="shared" si="10"/>
        <v>7.97058823529412</v>
      </c>
      <c r="F196" s="254"/>
      <c r="G196" s="255">
        <v>34</v>
      </c>
    </row>
    <row r="197" s="245" customFormat="1" ht="16.5" customHeight="1" spans="1:7">
      <c r="A197" s="216" t="s">
        <v>284</v>
      </c>
      <c r="B197" s="254">
        <v>131</v>
      </c>
      <c r="C197" s="254">
        <v>131</v>
      </c>
      <c r="D197" s="37">
        <f t="shared" si="13"/>
        <v>1</v>
      </c>
      <c r="E197" s="37">
        <f t="shared" si="10"/>
        <v>-0.376190476190476</v>
      </c>
      <c r="F197" s="254"/>
      <c r="G197" s="255">
        <v>210</v>
      </c>
    </row>
    <row r="198" s="245" customFormat="1" ht="16.5" customHeight="1" spans="1:7">
      <c r="A198" s="216" t="s">
        <v>285</v>
      </c>
      <c r="B198" s="254">
        <v>213</v>
      </c>
      <c r="C198" s="254">
        <v>213</v>
      </c>
      <c r="D198" s="37">
        <f t="shared" si="13"/>
        <v>1</v>
      </c>
      <c r="E198" s="37">
        <f t="shared" si="10"/>
        <v>-0.187022900763359</v>
      </c>
      <c r="F198" s="254"/>
      <c r="G198" s="255">
        <v>262</v>
      </c>
    </row>
    <row r="199" s="245" customFormat="1" ht="16.5" customHeight="1" spans="1:7">
      <c r="A199" s="259" t="s">
        <v>286</v>
      </c>
      <c r="B199" s="254">
        <f>SUM(B200:B202)</f>
        <v>190</v>
      </c>
      <c r="C199" s="254">
        <f>SUM(C200:C202)</f>
        <v>190</v>
      </c>
      <c r="D199" s="37">
        <f t="shared" si="13"/>
        <v>1</v>
      </c>
      <c r="E199" s="37"/>
      <c r="F199" s="254"/>
      <c r="G199" s="255">
        <f>SUM(G200:G202)</f>
        <v>183</v>
      </c>
    </row>
    <row r="200" s="245" customFormat="1" ht="16.5" customHeight="1" spans="1:7">
      <c r="A200" s="259" t="s">
        <v>287</v>
      </c>
      <c r="B200" s="254">
        <v>100</v>
      </c>
      <c r="C200" s="254">
        <v>100</v>
      </c>
      <c r="D200" s="37">
        <f t="shared" si="13"/>
        <v>1</v>
      </c>
      <c r="E200" s="37"/>
      <c r="F200" s="254"/>
      <c r="G200" s="255">
        <v>82</v>
      </c>
    </row>
    <row r="201" s="245" customFormat="1" ht="16.5" customHeight="1" spans="1:7">
      <c r="A201" s="259" t="s">
        <v>288</v>
      </c>
      <c r="B201" s="254">
        <v>36</v>
      </c>
      <c r="C201" s="254">
        <v>36</v>
      </c>
      <c r="D201" s="37">
        <f t="shared" si="13"/>
        <v>1</v>
      </c>
      <c r="E201" s="37"/>
      <c r="F201" s="254"/>
      <c r="G201" s="255">
        <v>51</v>
      </c>
    </row>
    <row r="202" s="245" customFormat="1" ht="16.5" customHeight="1" spans="1:7">
      <c r="A202" s="216" t="s">
        <v>289</v>
      </c>
      <c r="B202" s="254">
        <v>54</v>
      </c>
      <c r="C202" s="254">
        <v>54</v>
      </c>
      <c r="D202" s="37">
        <f t="shared" si="13"/>
        <v>1</v>
      </c>
      <c r="E202" s="37"/>
      <c r="F202" s="254"/>
      <c r="G202" s="255">
        <v>50</v>
      </c>
    </row>
    <row r="203" s="245" customFormat="1" ht="16.5" customHeight="1" spans="1:7">
      <c r="A203" s="259" t="s">
        <v>290</v>
      </c>
      <c r="B203" s="254">
        <f>SUM(B204:B208)</f>
        <v>1226</v>
      </c>
      <c r="C203" s="254">
        <f>SUM(C204:C208)</f>
        <v>1226</v>
      </c>
      <c r="D203" s="37">
        <f t="shared" si="13"/>
        <v>1</v>
      </c>
      <c r="E203" s="37">
        <f t="shared" ref="E203:E270" si="14">(C203-G203)/G203</f>
        <v>-0.15448275862069</v>
      </c>
      <c r="F203" s="254"/>
      <c r="G203" s="255">
        <f>SUM(G204:G208)</f>
        <v>1450</v>
      </c>
    </row>
    <row r="204" s="245" customFormat="1" ht="16.5" customHeight="1" spans="1:7">
      <c r="A204" s="216" t="s">
        <v>291</v>
      </c>
      <c r="B204" s="254">
        <v>291</v>
      </c>
      <c r="C204" s="254">
        <v>291</v>
      </c>
      <c r="D204" s="37">
        <f t="shared" si="13"/>
        <v>1</v>
      </c>
      <c r="E204" s="37">
        <f t="shared" si="14"/>
        <v>-0.202739726027397</v>
      </c>
      <c r="F204" s="254"/>
      <c r="G204" s="255">
        <v>365</v>
      </c>
    </row>
    <row r="205" s="245" customFormat="1" ht="16.5" customHeight="1" spans="1:7">
      <c r="A205" s="216" t="s">
        <v>292</v>
      </c>
      <c r="B205" s="254">
        <v>469</v>
      </c>
      <c r="C205" s="254">
        <v>469</v>
      </c>
      <c r="D205" s="37">
        <f t="shared" si="13"/>
        <v>1</v>
      </c>
      <c r="E205" s="37">
        <f t="shared" si="14"/>
        <v>-0.0289855072463768</v>
      </c>
      <c r="F205" s="254"/>
      <c r="G205" s="255">
        <v>483</v>
      </c>
    </row>
    <row r="206" s="245" customFormat="1" ht="16.5" customHeight="1" spans="1:7">
      <c r="A206" s="216" t="s">
        <v>293</v>
      </c>
      <c r="B206" s="254">
        <v>51</v>
      </c>
      <c r="C206" s="254">
        <v>51</v>
      </c>
      <c r="D206" s="37">
        <f t="shared" si="13"/>
        <v>1</v>
      </c>
      <c r="E206" s="37"/>
      <c r="F206" s="254"/>
      <c r="G206" s="255">
        <v>20</v>
      </c>
    </row>
    <row r="207" s="245" customFormat="1" ht="16.5" customHeight="1" spans="1:7">
      <c r="A207" s="216" t="s">
        <v>294</v>
      </c>
      <c r="B207" s="254">
        <v>239</v>
      </c>
      <c r="C207" s="254">
        <v>239</v>
      </c>
      <c r="D207" s="37">
        <f t="shared" si="13"/>
        <v>1</v>
      </c>
      <c r="E207" s="37">
        <f t="shared" si="14"/>
        <v>-0.273556231003039</v>
      </c>
      <c r="F207" s="254"/>
      <c r="G207" s="255">
        <v>329</v>
      </c>
    </row>
    <row r="208" s="245" customFormat="1" ht="16.5" customHeight="1" spans="1:7">
      <c r="A208" s="216" t="s">
        <v>295</v>
      </c>
      <c r="B208" s="254">
        <v>176</v>
      </c>
      <c r="C208" s="254">
        <v>176</v>
      </c>
      <c r="D208" s="37">
        <f t="shared" si="13"/>
        <v>1</v>
      </c>
      <c r="E208" s="37">
        <f t="shared" si="14"/>
        <v>-0.304347826086957</v>
      </c>
      <c r="F208" s="254"/>
      <c r="G208" s="255">
        <v>253</v>
      </c>
    </row>
    <row r="209" s="245" customFormat="1" ht="16.5" customHeight="1" spans="1:7">
      <c r="A209" s="259" t="s">
        <v>296</v>
      </c>
      <c r="B209" s="254">
        <f>SUM(B210:B212)</f>
        <v>250</v>
      </c>
      <c r="C209" s="254">
        <f>SUM(C210:C212)</f>
        <v>250</v>
      </c>
      <c r="D209" s="37">
        <f t="shared" si="13"/>
        <v>1</v>
      </c>
      <c r="E209" s="37">
        <f t="shared" si="14"/>
        <v>-0.588815789473684</v>
      </c>
      <c r="F209" s="254"/>
      <c r="G209" s="255">
        <f>SUM(G210:G212)</f>
        <v>608</v>
      </c>
    </row>
    <row r="210" s="245" customFormat="1" ht="16.5" customHeight="1" spans="1:7">
      <c r="A210" s="216" t="s">
        <v>297</v>
      </c>
      <c r="B210" s="254">
        <v>15</v>
      </c>
      <c r="C210" s="254">
        <v>15</v>
      </c>
      <c r="D210" s="37">
        <f t="shared" si="13"/>
        <v>1</v>
      </c>
      <c r="E210" s="37"/>
      <c r="F210" s="254"/>
      <c r="G210" s="255"/>
    </row>
    <row r="211" s="245" customFormat="1" ht="16.5" customHeight="1" spans="1:7">
      <c r="A211" s="216" t="s">
        <v>298</v>
      </c>
      <c r="B211" s="254">
        <v>25</v>
      </c>
      <c r="C211" s="254">
        <v>25</v>
      </c>
      <c r="D211" s="37">
        <f t="shared" si="13"/>
        <v>1</v>
      </c>
      <c r="E211" s="37">
        <f t="shared" si="14"/>
        <v>-0.75</v>
      </c>
      <c r="F211" s="254"/>
      <c r="G211" s="255">
        <v>100</v>
      </c>
    </row>
    <row r="212" s="245" customFormat="1" ht="16.5" customHeight="1" spans="1:7">
      <c r="A212" s="216" t="s">
        <v>299</v>
      </c>
      <c r="B212" s="254">
        <v>210</v>
      </c>
      <c r="C212" s="254">
        <v>210</v>
      </c>
      <c r="D212" s="37">
        <f t="shared" si="13"/>
        <v>1</v>
      </c>
      <c r="E212" s="37">
        <f t="shared" si="14"/>
        <v>-0.586614173228346</v>
      </c>
      <c r="F212" s="254"/>
      <c r="G212" s="255">
        <v>508</v>
      </c>
    </row>
    <row r="213" s="245" customFormat="1" ht="16.5" customHeight="1" spans="1:7">
      <c r="A213" s="253" t="s">
        <v>69</v>
      </c>
      <c r="B213" s="254">
        <f ca="1">B214+B219+B226+B229+B232+B241+B242+B245+B251+B256+B262+B268+B271+B274+B277+B279+B282+B286</f>
        <v>56180</v>
      </c>
      <c r="C213" s="254">
        <f ca="1">C214+C219+C226+C229+C232+C241+C242+C245+C251+C256+C262+C268+C271+C274+C277+C279+C282+C286</f>
        <v>55746</v>
      </c>
      <c r="D213" s="37">
        <f ca="1" t="shared" si="13"/>
        <v>0.992274830900676</v>
      </c>
      <c r="E213" s="37">
        <f ca="1" t="shared" si="14"/>
        <v>0.581850685281348</v>
      </c>
      <c r="F213" s="254"/>
      <c r="G213" s="255">
        <f ca="1">G214+G219+G226+G229+G232+G241+G242+G245+G251+G256+G262+G268+G271+G274+G277+G279+G282+G286</f>
        <v>35241</v>
      </c>
    </row>
    <row r="214" s="245" customFormat="1" ht="16.5" customHeight="1" spans="1:7">
      <c r="A214" s="259" t="s">
        <v>300</v>
      </c>
      <c r="B214" s="254">
        <f>SUM(B215:B218)</f>
        <v>3824</v>
      </c>
      <c r="C214" s="254">
        <f>SUM(C215:C218)</f>
        <v>3824</v>
      </c>
      <c r="D214" s="37">
        <f t="shared" si="13"/>
        <v>1</v>
      </c>
      <c r="E214" s="37">
        <f t="shared" si="14"/>
        <v>-0.117266851338874</v>
      </c>
      <c r="F214" s="254"/>
      <c r="G214" s="255">
        <f>SUM(G215:G218)</f>
        <v>4332</v>
      </c>
    </row>
    <row r="215" s="245" customFormat="1" ht="16.5" customHeight="1" spans="1:7">
      <c r="A215" s="216" t="s">
        <v>301</v>
      </c>
      <c r="B215" s="254">
        <v>422</v>
      </c>
      <c r="C215" s="254">
        <v>422</v>
      </c>
      <c r="D215" s="37">
        <f t="shared" si="13"/>
        <v>1</v>
      </c>
      <c r="E215" s="37">
        <f t="shared" si="14"/>
        <v>0.137466307277628</v>
      </c>
      <c r="F215" s="254"/>
      <c r="G215" s="255">
        <v>371</v>
      </c>
    </row>
    <row r="216" s="245" customFormat="1" ht="16.5" customHeight="1" spans="1:7">
      <c r="A216" s="216" t="s">
        <v>302</v>
      </c>
      <c r="B216" s="254">
        <v>143</v>
      </c>
      <c r="C216" s="254">
        <v>143</v>
      </c>
      <c r="D216" s="37">
        <f t="shared" si="13"/>
        <v>1</v>
      </c>
      <c r="E216" s="37">
        <f t="shared" si="14"/>
        <v>-0.133333333333333</v>
      </c>
      <c r="F216" s="254"/>
      <c r="G216" s="255">
        <v>165</v>
      </c>
    </row>
    <row r="217" s="245" customFormat="1" ht="16.5" customHeight="1" spans="1:7">
      <c r="A217" s="216" t="s">
        <v>303</v>
      </c>
      <c r="B217" s="254">
        <v>1164</v>
      </c>
      <c r="C217" s="254">
        <v>1164</v>
      </c>
      <c r="D217" s="37">
        <f t="shared" si="13"/>
        <v>1</v>
      </c>
      <c r="E217" s="37">
        <f t="shared" si="14"/>
        <v>-0.244155844155844</v>
      </c>
      <c r="F217" s="254"/>
      <c r="G217" s="255">
        <v>1540</v>
      </c>
    </row>
    <row r="218" s="245" customFormat="1" ht="16.5" customHeight="1" spans="1:7">
      <c r="A218" s="216" t="s">
        <v>304</v>
      </c>
      <c r="B218" s="254">
        <v>2095</v>
      </c>
      <c r="C218" s="254">
        <v>2095</v>
      </c>
      <c r="D218" s="37">
        <f t="shared" si="13"/>
        <v>1</v>
      </c>
      <c r="E218" s="37">
        <f t="shared" si="14"/>
        <v>-0.0713652482269504</v>
      </c>
      <c r="F218" s="254"/>
      <c r="G218" s="255">
        <v>2256</v>
      </c>
    </row>
    <row r="219" s="245" customFormat="1" ht="16.5" customHeight="1" spans="1:7">
      <c r="A219" s="259" t="s">
        <v>305</v>
      </c>
      <c r="B219" s="254">
        <f>SUM(B220:B225)</f>
        <v>793</v>
      </c>
      <c r="C219" s="254">
        <f>SUM(C220:C225)</f>
        <v>651</v>
      </c>
      <c r="D219" s="37">
        <f t="shared" si="13"/>
        <v>0.82093316519546</v>
      </c>
      <c r="E219" s="37">
        <f t="shared" si="14"/>
        <v>71.3333333333333</v>
      </c>
      <c r="F219" s="254"/>
      <c r="G219" s="255">
        <f>SUM(G220:G225)</f>
        <v>9</v>
      </c>
    </row>
    <row r="220" s="245" customFormat="1" ht="16.5" customHeight="1" spans="1:7">
      <c r="A220" s="216" t="s">
        <v>306</v>
      </c>
      <c r="B220" s="254">
        <v>105</v>
      </c>
      <c r="C220" s="254">
        <v>105</v>
      </c>
      <c r="D220" s="37">
        <f t="shared" si="13"/>
        <v>1</v>
      </c>
      <c r="E220" s="37">
        <f t="shared" si="14"/>
        <v>-0.036697247706422</v>
      </c>
      <c r="F220" s="254"/>
      <c r="G220" s="255">
        <v>109</v>
      </c>
    </row>
    <row r="221" s="245" customFormat="1" ht="16.5" customHeight="1" spans="1:7">
      <c r="A221" s="216" t="s">
        <v>307</v>
      </c>
      <c r="B221" s="254">
        <v>61</v>
      </c>
      <c r="C221" s="254">
        <v>61</v>
      </c>
      <c r="D221" s="37">
        <f t="shared" si="13"/>
        <v>1</v>
      </c>
      <c r="E221" s="37">
        <f t="shared" si="14"/>
        <v>1.17857142857143</v>
      </c>
      <c r="F221" s="254"/>
      <c r="G221" s="255">
        <v>28</v>
      </c>
    </row>
    <row r="222" s="245" customFormat="1" ht="16.5" customHeight="1" spans="1:7">
      <c r="A222" s="216" t="s">
        <v>308</v>
      </c>
      <c r="B222" s="254">
        <v>336</v>
      </c>
      <c r="C222" s="254">
        <v>336</v>
      </c>
      <c r="D222" s="37">
        <f t="shared" si="13"/>
        <v>1</v>
      </c>
      <c r="E222" s="37">
        <f t="shared" si="14"/>
        <v>-0.064066852367688</v>
      </c>
      <c r="F222" s="254"/>
      <c r="G222" s="255">
        <v>359</v>
      </c>
    </row>
    <row r="223" s="245" customFormat="1" ht="16.5" customHeight="1" spans="1:7">
      <c r="A223" s="216" t="s">
        <v>309</v>
      </c>
      <c r="B223" s="254">
        <v>35</v>
      </c>
      <c r="C223" s="254">
        <v>35</v>
      </c>
      <c r="D223" s="37">
        <f t="shared" si="13"/>
        <v>1</v>
      </c>
      <c r="E223" s="37">
        <f t="shared" si="14"/>
        <v>-0.313725490196078</v>
      </c>
      <c r="F223" s="254"/>
      <c r="G223" s="255">
        <v>51</v>
      </c>
    </row>
    <row r="224" s="245" customFormat="1" ht="16.5" customHeight="1" spans="1:7">
      <c r="A224" s="216" t="s">
        <v>310</v>
      </c>
      <c r="B224" s="254">
        <v>141</v>
      </c>
      <c r="C224" s="254">
        <v>-1</v>
      </c>
      <c r="D224" s="37"/>
      <c r="E224" s="37">
        <f t="shared" si="14"/>
        <v>0</v>
      </c>
      <c r="F224" s="254"/>
      <c r="G224" s="255">
        <v>-1</v>
      </c>
    </row>
    <row r="225" s="245" customFormat="1" ht="16.5" customHeight="1" spans="1:7">
      <c r="A225" s="216" t="s">
        <v>311</v>
      </c>
      <c r="B225" s="254">
        <v>115</v>
      </c>
      <c r="C225" s="254">
        <v>115</v>
      </c>
      <c r="D225" s="37">
        <f t="shared" si="13"/>
        <v>1</v>
      </c>
      <c r="E225" s="37"/>
      <c r="F225" s="254"/>
      <c r="G225" s="255">
        <v>-537</v>
      </c>
    </row>
    <row r="226" s="245" customFormat="1" ht="16.5" customHeight="1" spans="1:7">
      <c r="A226" s="259" t="s">
        <v>312</v>
      </c>
      <c r="B226" s="254">
        <f>SUM(B227:B228)</f>
        <v>7173</v>
      </c>
      <c r="C226" s="254">
        <f>SUM(C227:C228)</f>
        <v>7173</v>
      </c>
      <c r="D226" s="37">
        <f t="shared" si="13"/>
        <v>1</v>
      </c>
      <c r="E226" s="37">
        <f t="shared" si="14"/>
        <v>0.0261802575107296</v>
      </c>
      <c r="F226" s="254"/>
      <c r="G226" s="255">
        <f>SUM(G227:G228)</f>
        <v>6990</v>
      </c>
    </row>
    <row r="227" s="245" customFormat="1" ht="16.5" customHeight="1" spans="1:7">
      <c r="A227" s="216" t="s">
        <v>313</v>
      </c>
      <c r="B227" s="254">
        <v>516</v>
      </c>
      <c r="C227" s="254">
        <v>516</v>
      </c>
      <c r="D227" s="37">
        <f t="shared" si="13"/>
        <v>1</v>
      </c>
      <c r="E227" s="37">
        <f t="shared" si="14"/>
        <v>-0.0373134328358209</v>
      </c>
      <c r="F227" s="254"/>
      <c r="G227" s="255">
        <v>536</v>
      </c>
    </row>
    <row r="228" s="245" customFormat="1" ht="16.5" customHeight="1" spans="1:7">
      <c r="A228" s="216" t="s">
        <v>314</v>
      </c>
      <c r="B228" s="254">
        <v>6657</v>
      </c>
      <c r="C228" s="254">
        <v>6657</v>
      </c>
      <c r="D228" s="37">
        <f t="shared" si="13"/>
        <v>1</v>
      </c>
      <c r="E228" s="37">
        <f t="shared" si="14"/>
        <v>0.0314533622559653</v>
      </c>
      <c r="F228" s="254"/>
      <c r="G228" s="255">
        <v>6454</v>
      </c>
    </row>
    <row r="229" s="245" customFormat="1" ht="16.5" customHeight="1" spans="1:7">
      <c r="A229" s="216" t="s">
        <v>315</v>
      </c>
      <c r="B229" s="254">
        <f>SUM(B230:B231)</f>
        <v>160</v>
      </c>
      <c r="C229" s="254">
        <f>SUM(C230:C231)</f>
        <v>160</v>
      </c>
      <c r="D229" s="37">
        <f t="shared" si="13"/>
        <v>1</v>
      </c>
      <c r="E229" s="37">
        <f t="shared" si="14"/>
        <v>0.6</v>
      </c>
      <c r="F229" s="254"/>
      <c r="G229" s="255">
        <f>SUM(G230:G231)</f>
        <v>100</v>
      </c>
    </row>
    <row r="230" s="245" customFormat="1" ht="16.5" customHeight="1" spans="1:7">
      <c r="A230" s="216" t="s">
        <v>316</v>
      </c>
      <c r="B230" s="254">
        <v>160</v>
      </c>
      <c r="C230" s="254">
        <v>160</v>
      </c>
      <c r="D230" s="37">
        <f t="shared" si="13"/>
        <v>1</v>
      </c>
      <c r="E230" s="37">
        <f t="shared" si="14"/>
        <v>0.6</v>
      </c>
      <c r="F230" s="254"/>
      <c r="G230" s="255">
        <v>100</v>
      </c>
    </row>
    <row r="231" s="245" customFormat="1" ht="16.5" customHeight="1" spans="1:7">
      <c r="A231" s="216" t="s">
        <v>317</v>
      </c>
      <c r="B231" s="254"/>
      <c r="C231" s="254"/>
      <c r="D231" s="37"/>
      <c r="E231" s="37"/>
      <c r="F231" s="254"/>
      <c r="G231" s="258"/>
    </row>
    <row r="232" s="245" customFormat="1" ht="16.5" customHeight="1" spans="1:7">
      <c r="A232" s="259" t="s">
        <v>318</v>
      </c>
      <c r="B232" s="254">
        <f ca="1">SUM(B233:B233:B240)</f>
        <v>22603</v>
      </c>
      <c r="C232" s="254">
        <f ca="1">SUM(C233:C233:C240)</f>
        <v>22603</v>
      </c>
      <c r="D232" s="37">
        <f ca="1" t="shared" ref="D232:D240" si="15">C232/B232</f>
        <v>1</v>
      </c>
      <c r="E232" s="37">
        <f ca="1" t="shared" si="14"/>
        <v>8.35167563094746</v>
      </c>
      <c r="F232" s="254"/>
      <c r="G232" s="255">
        <f ca="1">SUM(G233:G233:G240)</f>
        <v>2417</v>
      </c>
    </row>
    <row r="233" s="245" customFormat="1" ht="16.5" customHeight="1" spans="1:7">
      <c r="A233" s="216" t="s">
        <v>319</v>
      </c>
      <c r="B233" s="254">
        <v>1384</v>
      </c>
      <c r="C233" s="254">
        <v>1384</v>
      </c>
      <c r="D233" s="37">
        <f t="shared" si="15"/>
        <v>1</v>
      </c>
      <c r="E233" s="37">
        <f t="shared" si="14"/>
        <v>0.0949367088607595</v>
      </c>
      <c r="F233" s="254"/>
      <c r="G233" s="255">
        <v>1264</v>
      </c>
    </row>
    <row r="234" s="245" customFormat="1" ht="16.5" customHeight="1" spans="1:7">
      <c r="A234" s="216" t="s">
        <v>320</v>
      </c>
      <c r="B234" s="254">
        <v>299</v>
      </c>
      <c r="C234" s="254">
        <v>299</v>
      </c>
      <c r="D234" s="37">
        <f t="shared" si="15"/>
        <v>1</v>
      </c>
      <c r="E234" s="37">
        <f t="shared" si="14"/>
        <v>-0.268948655256724</v>
      </c>
      <c r="F234" s="254"/>
      <c r="G234" s="255">
        <v>409</v>
      </c>
    </row>
    <row r="235" s="245" customFormat="1" ht="16.5" customHeight="1" spans="1:7">
      <c r="A235" s="216" t="s">
        <v>321</v>
      </c>
      <c r="B235" s="254">
        <v>295</v>
      </c>
      <c r="C235" s="254">
        <v>295</v>
      </c>
      <c r="D235" s="37">
        <f t="shared" si="15"/>
        <v>1</v>
      </c>
      <c r="E235" s="37">
        <f t="shared" si="14"/>
        <v>-0.106060606060606</v>
      </c>
      <c r="F235" s="254"/>
      <c r="G235" s="255">
        <v>330</v>
      </c>
    </row>
    <row r="236" s="245" customFormat="1" ht="16.5" customHeight="1" spans="1:7">
      <c r="A236" s="216" t="s">
        <v>322</v>
      </c>
      <c r="B236" s="254">
        <v>22</v>
      </c>
      <c r="C236" s="254">
        <v>22</v>
      </c>
      <c r="D236" s="37">
        <f t="shared" si="15"/>
        <v>1</v>
      </c>
      <c r="E236" s="37">
        <f t="shared" si="14"/>
        <v>0.0476190476190476</v>
      </c>
      <c r="F236" s="254"/>
      <c r="G236" s="255">
        <v>21</v>
      </c>
    </row>
    <row r="237" s="245" customFormat="1" ht="16.5" customHeight="1" spans="1:7">
      <c r="A237" s="216" t="s">
        <v>323</v>
      </c>
      <c r="B237" s="254">
        <v>18843</v>
      </c>
      <c r="C237" s="254">
        <v>18843</v>
      </c>
      <c r="D237" s="37">
        <f t="shared" si="15"/>
        <v>1</v>
      </c>
      <c r="E237" s="37"/>
      <c r="F237" s="254"/>
      <c r="G237" s="255">
        <v>141</v>
      </c>
    </row>
    <row r="238" s="245" customFormat="1" ht="16.5" customHeight="1" spans="1:7">
      <c r="A238" s="216" t="s">
        <v>324</v>
      </c>
      <c r="B238" s="254">
        <v>413</v>
      </c>
      <c r="C238" s="254">
        <v>413</v>
      </c>
      <c r="D238" s="37">
        <f t="shared" si="15"/>
        <v>1</v>
      </c>
      <c r="E238" s="37"/>
      <c r="F238" s="254"/>
      <c r="G238" s="258"/>
    </row>
    <row r="239" s="245" customFormat="1" ht="16.5" customHeight="1" spans="1:7">
      <c r="A239" s="216" t="s">
        <v>325</v>
      </c>
      <c r="B239" s="254">
        <v>1093</v>
      </c>
      <c r="C239" s="254">
        <v>1093</v>
      </c>
      <c r="D239" s="37">
        <f t="shared" si="15"/>
        <v>1</v>
      </c>
      <c r="E239" s="37"/>
      <c r="F239" s="254"/>
      <c r="G239" s="258"/>
    </row>
    <row r="240" s="245" customFormat="1" ht="16.5" customHeight="1" spans="1:7">
      <c r="A240" s="216" t="s">
        <v>326</v>
      </c>
      <c r="B240" s="254">
        <v>254</v>
      </c>
      <c r="C240" s="254">
        <v>254</v>
      </c>
      <c r="D240" s="37">
        <f t="shared" si="15"/>
        <v>1</v>
      </c>
      <c r="E240" s="37">
        <f t="shared" si="14"/>
        <v>0.00793650793650794</v>
      </c>
      <c r="F240" s="254"/>
      <c r="G240" s="255">
        <v>252</v>
      </c>
    </row>
    <row r="241" s="245" customFormat="1" ht="16.5" customHeight="1" spans="1:7">
      <c r="A241" s="259" t="s">
        <v>327</v>
      </c>
      <c r="B241" s="254"/>
      <c r="C241" s="254"/>
      <c r="D241" s="37"/>
      <c r="E241" s="37"/>
      <c r="F241" s="254"/>
      <c r="G241" s="255"/>
    </row>
    <row r="242" s="245" customFormat="1" ht="16.5" customHeight="1" spans="1:7">
      <c r="A242" s="259" t="s">
        <v>328</v>
      </c>
      <c r="B242" s="254">
        <f>SUM(B243:B244)</f>
        <v>1075</v>
      </c>
      <c r="C242" s="254">
        <f>SUM(C243:C244)</f>
        <v>1075</v>
      </c>
      <c r="D242" s="37">
        <f>C242/B242</f>
        <v>1</v>
      </c>
      <c r="E242" s="37">
        <f t="shared" si="14"/>
        <v>-0.539417309340188</v>
      </c>
      <c r="F242" s="254"/>
      <c r="G242" s="255">
        <f>SUM(G243:G244)</f>
        <v>2334</v>
      </c>
    </row>
    <row r="243" s="245" customFormat="1" ht="16.5" customHeight="1" spans="1:7">
      <c r="A243" s="216" t="s">
        <v>329</v>
      </c>
      <c r="B243" s="254">
        <v>-32</v>
      </c>
      <c r="C243" s="254">
        <v>-32</v>
      </c>
      <c r="D243" s="37">
        <f>C243/B243</f>
        <v>1</v>
      </c>
      <c r="E243" s="37"/>
      <c r="F243" s="254"/>
      <c r="G243" s="255"/>
    </row>
    <row r="244" s="245" customFormat="1" ht="16.5" customHeight="1" spans="1:7">
      <c r="A244" s="216" t="s">
        <v>330</v>
      </c>
      <c r="B244" s="254">
        <v>1107</v>
      </c>
      <c r="C244" s="254">
        <v>1107</v>
      </c>
      <c r="D244" s="37">
        <f>C244/B244</f>
        <v>1</v>
      </c>
      <c r="E244" s="37">
        <f t="shared" si="14"/>
        <v>-0.525706940874036</v>
      </c>
      <c r="F244" s="254"/>
      <c r="G244" s="255">
        <v>2334</v>
      </c>
    </row>
    <row r="245" s="245" customFormat="1" ht="16.5" customHeight="1" spans="1:7">
      <c r="A245" s="259" t="s">
        <v>331</v>
      </c>
      <c r="B245" s="254">
        <f>SUM(B246:B250)</f>
        <v>2323</v>
      </c>
      <c r="C245" s="254">
        <f>SUM(C246:C250)</f>
        <v>2323</v>
      </c>
      <c r="D245" s="37">
        <f>C245/B245</f>
        <v>1</v>
      </c>
      <c r="E245" s="37">
        <f t="shared" si="14"/>
        <v>0.13427734375</v>
      </c>
      <c r="F245" s="254"/>
      <c r="G245" s="255">
        <v>2048</v>
      </c>
    </row>
    <row r="246" s="245" customFormat="1" ht="16.5" customHeight="1" spans="1:7">
      <c r="A246" s="216" t="s">
        <v>332</v>
      </c>
      <c r="B246" s="254"/>
      <c r="C246" s="254"/>
      <c r="D246" s="37"/>
      <c r="E246" s="37"/>
      <c r="F246" s="254"/>
      <c r="G246" s="255"/>
    </row>
    <row r="247" s="245" customFormat="1" ht="16.5" customHeight="1" spans="1:7">
      <c r="A247" s="216" t="s">
        <v>333</v>
      </c>
      <c r="B247" s="254"/>
      <c r="C247" s="254"/>
      <c r="D247" s="37"/>
      <c r="E247" s="37"/>
      <c r="F247" s="254"/>
      <c r="G247" s="255"/>
    </row>
    <row r="248" s="245" customFormat="1" ht="16.5" customHeight="1" spans="1:7">
      <c r="A248" s="216" t="s">
        <v>334</v>
      </c>
      <c r="B248" s="254"/>
      <c r="C248" s="254"/>
      <c r="D248" s="37"/>
      <c r="E248" s="37"/>
      <c r="F248" s="254"/>
      <c r="G248" s="255"/>
    </row>
    <row r="249" s="245" customFormat="1" ht="16.5" customHeight="1" spans="1:7">
      <c r="A249" s="216" t="s">
        <v>335</v>
      </c>
      <c r="B249" s="254">
        <v>1271</v>
      </c>
      <c r="C249" s="254">
        <v>1271</v>
      </c>
      <c r="D249" s="37">
        <f t="shared" ref="D249:D254" si="16">C249/B249</f>
        <v>1</v>
      </c>
      <c r="E249" s="37">
        <f t="shared" si="14"/>
        <v>0.162854528819762</v>
      </c>
      <c r="F249" s="254"/>
      <c r="G249" s="255">
        <v>1093</v>
      </c>
    </row>
    <row r="250" s="245" customFormat="1" ht="16.5" customHeight="1" spans="1:7">
      <c r="A250" s="216" t="s">
        <v>336</v>
      </c>
      <c r="B250" s="254">
        <v>1052</v>
      </c>
      <c r="C250" s="254">
        <v>1052</v>
      </c>
      <c r="D250" s="37">
        <f t="shared" si="16"/>
        <v>1</v>
      </c>
      <c r="E250" s="37">
        <f t="shared" si="14"/>
        <v>0.101570680628272</v>
      </c>
      <c r="F250" s="254"/>
      <c r="G250" s="255">
        <v>955</v>
      </c>
    </row>
    <row r="251" s="245" customFormat="1" ht="16.5" customHeight="1" spans="1:7">
      <c r="A251" s="259" t="s">
        <v>337</v>
      </c>
      <c r="B251" s="254">
        <f>SUM(B252:B255)</f>
        <v>384</v>
      </c>
      <c r="C251" s="254">
        <f>SUM(C252:C255)</f>
        <v>384</v>
      </c>
      <c r="D251" s="37">
        <f t="shared" si="16"/>
        <v>1</v>
      </c>
      <c r="E251" s="37">
        <f t="shared" si="14"/>
        <v>0.691629955947137</v>
      </c>
      <c r="F251" s="254"/>
      <c r="G251" s="255">
        <f>SUM(G252:G255)</f>
        <v>227</v>
      </c>
    </row>
    <row r="252" s="245" customFormat="1" ht="16.5" customHeight="1" spans="1:7">
      <c r="A252" s="216" t="s">
        <v>338</v>
      </c>
      <c r="B252" s="254">
        <v>282</v>
      </c>
      <c r="C252" s="254">
        <v>282</v>
      </c>
      <c r="D252" s="37">
        <f t="shared" si="16"/>
        <v>1</v>
      </c>
      <c r="E252" s="37">
        <f t="shared" si="14"/>
        <v>0.323943661971831</v>
      </c>
      <c r="F252" s="254"/>
      <c r="G252" s="255">
        <v>213</v>
      </c>
    </row>
    <row r="253" s="245" customFormat="1" ht="16.5" customHeight="1" spans="1:7">
      <c r="A253" s="216" t="s">
        <v>339</v>
      </c>
      <c r="B253" s="254">
        <v>98</v>
      </c>
      <c r="C253" s="254">
        <v>98</v>
      </c>
      <c r="D253" s="37">
        <f t="shared" si="16"/>
        <v>1</v>
      </c>
      <c r="E253" s="37">
        <f t="shared" si="14"/>
        <v>6</v>
      </c>
      <c r="F253" s="254"/>
      <c r="G253" s="255">
        <v>14</v>
      </c>
    </row>
    <row r="254" s="245" customFormat="1" ht="16.5" customHeight="1" spans="1:7">
      <c r="A254" s="216" t="s">
        <v>340</v>
      </c>
      <c r="B254" s="254">
        <v>4</v>
      </c>
      <c r="C254" s="254">
        <v>4</v>
      </c>
      <c r="D254" s="37">
        <f t="shared" si="16"/>
        <v>1</v>
      </c>
      <c r="E254" s="37"/>
      <c r="F254" s="254"/>
      <c r="G254" s="255"/>
    </row>
    <row r="255" s="245" customFormat="1" ht="16.5" customHeight="1" spans="1:7">
      <c r="A255" s="216" t="s">
        <v>341</v>
      </c>
      <c r="B255" s="254"/>
      <c r="C255" s="254"/>
      <c r="D255" s="37"/>
      <c r="E255" s="37"/>
      <c r="F255" s="254"/>
      <c r="G255" s="255"/>
    </row>
    <row r="256" s="245" customFormat="1" ht="16.5" customHeight="1" spans="1:7">
      <c r="A256" s="259" t="s">
        <v>342</v>
      </c>
      <c r="B256" s="254">
        <f>SUM(B257:B261)</f>
        <v>3684</v>
      </c>
      <c r="C256" s="254">
        <f>SUM(C257:C261)</f>
        <v>3684</v>
      </c>
      <c r="D256" s="37">
        <f t="shared" ref="D256:D284" si="17">C256/B256</f>
        <v>1</v>
      </c>
      <c r="E256" s="37">
        <f t="shared" si="14"/>
        <v>0.498779495524817</v>
      </c>
      <c r="F256" s="254"/>
      <c r="G256" s="255">
        <f>SUM(G257:G261)</f>
        <v>2458</v>
      </c>
    </row>
    <row r="257" s="245" customFormat="1" ht="16.5" customHeight="1" spans="1:7">
      <c r="A257" s="216" t="s">
        <v>343</v>
      </c>
      <c r="B257" s="254">
        <v>160</v>
      </c>
      <c r="C257" s="254">
        <v>160</v>
      </c>
      <c r="D257" s="37">
        <f t="shared" si="17"/>
        <v>1</v>
      </c>
      <c r="E257" s="37">
        <f t="shared" si="14"/>
        <v>0.0126582278481013</v>
      </c>
      <c r="F257" s="254"/>
      <c r="G257" s="255">
        <v>158</v>
      </c>
    </row>
    <row r="258" s="245" customFormat="1" ht="16.5" customHeight="1" spans="1:7">
      <c r="A258" s="216" t="s">
        <v>344</v>
      </c>
      <c r="B258" s="254">
        <v>602</v>
      </c>
      <c r="C258" s="254">
        <v>602</v>
      </c>
      <c r="D258" s="37">
        <f t="shared" si="17"/>
        <v>1</v>
      </c>
      <c r="E258" s="37">
        <f t="shared" si="14"/>
        <v>-0.705335291238375</v>
      </c>
      <c r="F258" s="254"/>
      <c r="G258" s="255">
        <v>2043</v>
      </c>
    </row>
    <row r="259" s="245" customFormat="1" ht="16.5" customHeight="1" spans="1:7">
      <c r="A259" s="216" t="s">
        <v>345</v>
      </c>
      <c r="B259" s="254">
        <v>100</v>
      </c>
      <c r="C259" s="254">
        <v>100</v>
      </c>
      <c r="D259" s="37">
        <f t="shared" si="17"/>
        <v>1</v>
      </c>
      <c r="E259" s="37">
        <f t="shared" si="14"/>
        <v>-0.145299145299145</v>
      </c>
      <c r="F259" s="254"/>
      <c r="G259" s="255">
        <v>117</v>
      </c>
    </row>
    <row r="260" s="245" customFormat="1" ht="16.5" customHeight="1" spans="1:7">
      <c r="A260" s="216" t="s">
        <v>346</v>
      </c>
      <c r="B260" s="254">
        <v>123</v>
      </c>
      <c r="C260" s="254">
        <v>123</v>
      </c>
      <c r="D260" s="37">
        <f t="shared" si="17"/>
        <v>1</v>
      </c>
      <c r="E260" s="37">
        <f t="shared" si="14"/>
        <v>-0.121428571428571</v>
      </c>
      <c r="F260" s="254"/>
      <c r="G260" s="255">
        <v>140</v>
      </c>
    </row>
    <row r="261" s="245" customFormat="1" ht="16.5" customHeight="1" spans="1:7">
      <c r="A261" s="216" t="s">
        <v>347</v>
      </c>
      <c r="B261" s="254">
        <v>2699</v>
      </c>
      <c r="C261" s="254">
        <v>2699</v>
      </c>
      <c r="D261" s="37">
        <f t="shared" si="17"/>
        <v>1</v>
      </c>
      <c r="E261" s="37"/>
      <c r="F261" s="254"/>
      <c r="G261" s="255"/>
    </row>
    <row r="262" s="245" customFormat="1" ht="16.5" customHeight="1" spans="1:7">
      <c r="A262" s="259" t="s">
        <v>348</v>
      </c>
      <c r="B262" s="254">
        <f>SUM(B263:B267)</f>
        <v>688</v>
      </c>
      <c r="C262" s="254">
        <f>SUM(C263:C267)</f>
        <v>625</v>
      </c>
      <c r="D262" s="37">
        <f t="shared" si="17"/>
        <v>0.908430232558139</v>
      </c>
      <c r="E262" s="37">
        <f t="shared" si="14"/>
        <v>-0.178712220762155</v>
      </c>
      <c r="F262" s="254"/>
      <c r="G262" s="255">
        <f>SUM(G263:G267)</f>
        <v>761</v>
      </c>
    </row>
    <row r="263" s="245" customFormat="1" ht="16.5" customHeight="1" spans="1:7">
      <c r="A263" s="216" t="s">
        <v>349</v>
      </c>
      <c r="B263" s="254">
        <v>89</v>
      </c>
      <c r="C263" s="254">
        <v>89</v>
      </c>
      <c r="D263" s="37">
        <f t="shared" si="17"/>
        <v>1</v>
      </c>
      <c r="E263" s="37">
        <f t="shared" si="14"/>
        <v>-0.190909090909091</v>
      </c>
      <c r="F263" s="254"/>
      <c r="G263" s="255">
        <v>110</v>
      </c>
    </row>
    <row r="264" s="245" customFormat="1" ht="16.5" customHeight="1" spans="1:7">
      <c r="A264" s="216" t="s">
        <v>350</v>
      </c>
      <c r="B264" s="254">
        <v>64</v>
      </c>
      <c r="C264" s="254">
        <v>64</v>
      </c>
      <c r="D264" s="37">
        <f t="shared" si="17"/>
        <v>1</v>
      </c>
      <c r="E264" s="37">
        <f t="shared" si="14"/>
        <v>1.46153846153846</v>
      </c>
      <c r="F264" s="254"/>
      <c r="G264" s="255">
        <v>26</v>
      </c>
    </row>
    <row r="265" s="245" customFormat="1" ht="16.5" customHeight="1" spans="1:7">
      <c r="A265" s="216" t="s">
        <v>351</v>
      </c>
      <c r="B265" s="254">
        <v>2</v>
      </c>
      <c r="C265" s="254">
        <v>2</v>
      </c>
      <c r="D265" s="37">
        <f t="shared" si="17"/>
        <v>1</v>
      </c>
      <c r="E265" s="37">
        <f t="shared" si="14"/>
        <v>-0.866666666666667</v>
      </c>
      <c r="F265" s="254"/>
      <c r="G265" s="255">
        <v>15</v>
      </c>
    </row>
    <row r="266" s="245" customFormat="1" ht="16.5" customHeight="1" spans="1:7">
      <c r="A266" s="216" t="s">
        <v>352</v>
      </c>
      <c r="B266" s="254">
        <v>60</v>
      </c>
      <c r="C266" s="254">
        <v>60</v>
      </c>
      <c r="D266" s="37">
        <f t="shared" si="17"/>
        <v>1</v>
      </c>
      <c r="E266" s="37"/>
      <c r="F266" s="254"/>
      <c r="G266" s="258"/>
    </row>
    <row r="267" s="245" customFormat="1" ht="16.5" customHeight="1" spans="1:7">
      <c r="A267" s="216" t="s">
        <v>353</v>
      </c>
      <c r="B267" s="254">
        <v>473</v>
      </c>
      <c r="C267" s="254">
        <v>410</v>
      </c>
      <c r="D267" s="37">
        <f t="shared" si="17"/>
        <v>0.866807610993658</v>
      </c>
      <c r="E267" s="37">
        <f t="shared" si="14"/>
        <v>-0.327868852459016</v>
      </c>
      <c r="F267" s="254"/>
      <c r="G267" s="255">
        <v>610</v>
      </c>
    </row>
    <row r="268" s="245" customFormat="1" ht="16.5" customHeight="1" spans="1:7">
      <c r="A268" s="259" t="s">
        <v>354</v>
      </c>
      <c r="B268" s="254">
        <f>SUM(B269:B270)</f>
        <v>808</v>
      </c>
      <c r="C268" s="254">
        <f>SUM(C269:C270)</f>
        <v>808</v>
      </c>
      <c r="D268" s="37">
        <f t="shared" si="17"/>
        <v>1</v>
      </c>
      <c r="E268" s="37">
        <f t="shared" si="14"/>
        <v>2.03759398496241</v>
      </c>
      <c r="F268" s="254"/>
      <c r="G268" s="255">
        <f>SUM(G269:G270)</f>
        <v>266</v>
      </c>
    </row>
    <row r="269" s="245" customFormat="1" ht="16.5" customHeight="1" spans="1:7">
      <c r="A269" s="216" t="s">
        <v>355</v>
      </c>
      <c r="B269" s="254"/>
      <c r="C269" s="254"/>
      <c r="D269" s="37"/>
      <c r="E269" s="37"/>
      <c r="F269" s="254"/>
      <c r="G269" s="258"/>
    </row>
    <row r="270" s="245" customFormat="1" ht="16.5" customHeight="1" spans="1:7">
      <c r="A270" s="216" t="s">
        <v>356</v>
      </c>
      <c r="B270" s="254">
        <v>808</v>
      </c>
      <c r="C270" s="254">
        <v>808</v>
      </c>
      <c r="D270" s="37">
        <f t="shared" si="17"/>
        <v>1</v>
      </c>
      <c r="E270" s="37">
        <f t="shared" si="14"/>
        <v>2.03759398496241</v>
      </c>
      <c r="F270" s="254"/>
      <c r="G270" s="258">
        <v>266</v>
      </c>
    </row>
    <row r="271" s="245" customFormat="1" ht="16.5" customHeight="1" spans="1:7">
      <c r="A271" s="259" t="s">
        <v>357</v>
      </c>
      <c r="B271" s="254">
        <f>SUM(B272:B273)</f>
        <v>500</v>
      </c>
      <c r="C271" s="254">
        <f>SUM(C272:C273)</f>
        <v>500</v>
      </c>
      <c r="D271" s="37">
        <f t="shared" si="17"/>
        <v>1</v>
      </c>
      <c r="E271" s="37">
        <f t="shared" ref="E271:E338" si="18">(C271-G271)/G271</f>
        <v>2.03030303030303</v>
      </c>
      <c r="F271" s="254"/>
      <c r="G271" s="255">
        <f>SUM(G272:G273)</f>
        <v>165</v>
      </c>
    </row>
    <row r="272" s="245" customFormat="1" ht="16.5" customHeight="1" spans="1:7">
      <c r="A272" s="216" t="s">
        <v>358</v>
      </c>
      <c r="B272" s="254">
        <v>500</v>
      </c>
      <c r="C272" s="254">
        <v>500</v>
      </c>
      <c r="D272" s="37">
        <f t="shared" si="17"/>
        <v>1</v>
      </c>
      <c r="E272" s="37">
        <f t="shared" si="18"/>
        <v>2.2258064516129</v>
      </c>
      <c r="F272" s="254"/>
      <c r="G272" s="255">
        <v>155</v>
      </c>
    </row>
    <row r="273" s="245" customFormat="1" ht="16.5" customHeight="1" spans="1:7">
      <c r="A273" s="216" t="s">
        <v>359</v>
      </c>
      <c r="B273" s="254"/>
      <c r="C273" s="254"/>
      <c r="D273" s="37"/>
      <c r="E273" s="37">
        <f t="shared" si="18"/>
        <v>-1</v>
      </c>
      <c r="F273" s="254"/>
      <c r="G273" s="255">
        <v>10</v>
      </c>
    </row>
    <row r="274" s="245" customFormat="1" ht="16.5" customHeight="1" spans="1:7">
      <c r="A274" s="259" t="s">
        <v>360</v>
      </c>
      <c r="B274" s="254">
        <f>SUM(B275:B276)</f>
        <v>539</v>
      </c>
      <c r="C274" s="254">
        <f>SUM(C275:C276)</f>
        <v>310</v>
      </c>
      <c r="D274" s="37">
        <f t="shared" si="17"/>
        <v>0.575139146567718</v>
      </c>
      <c r="E274" s="37">
        <f t="shared" si="18"/>
        <v>-0.437386569872958</v>
      </c>
      <c r="F274" s="254"/>
      <c r="G274" s="255">
        <f>SUM(G275:G276)</f>
        <v>551</v>
      </c>
    </row>
    <row r="275" s="245" customFormat="1" ht="16.5" customHeight="1" spans="1:7">
      <c r="A275" s="216" t="s">
        <v>361</v>
      </c>
      <c r="B275" s="254">
        <v>511</v>
      </c>
      <c r="C275" s="254">
        <v>294</v>
      </c>
      <c r="D275" s="37">
        <f t="shared" si="17"/>
        <v>0.575342465753425</v>
      </c>
      <c r="E275" s="37">
        <f t="shared" si="18"/>
        <v>-0.350993377483444</v>
      </c>
      <c r="F275" s="254"/>
      <c r="G275" s="255">
        <v>453</v>
      </c>
    </row>
    <row r="276" s="245" customFormat="1" ht="16.5" customHeight="1" spans="1:7">
      <c r="A276" s="216" t="s">
        <v>362</v>
      </c>
      <c r="B276" s="254">
        <v>28</v>
      </c>
      <c r="C276" s="254">
        <v>16</v>
      </c>
      <c r="D276" s="37">
        <f t="shared" si="17"/>
        <v>0.571428571428571</v>
      </c>
      <c r="E276" s="37">
        <f t="shared" si="18"/>
        <v>-0.836734693877551</v>
      </c>
      <c r="F276" s="254"/>
      <c r="G276" s="255">
        <v>98</v>
      </c>
    </row>
    <row r="277" s="245" customFormat="1" ht="16.5" customHeight="1" spans="1:7">
      <c r="A277" s="259" t="s">
        <v>363</v>
      </c>
      <c r="B277" s="254">
        <f>SUM(B278)</f>
        <v>35</v>
      </c>
      <c r="C277" s="254">
        <f>SUM(C278)</f>
        <v>35</v>
      </c>
      <c r="D277" s="37">
        <f t="shared" si="17"/>
        <v>1</v>
      </c>
      <c r="E277" s="37">
        <f t="shared" si="18"/>
        <v>-0.146341463414634</v>
      </c>
      <c r="F277" s="254"/>
      <c r="G277" s="255">
        <f>SUM(G278)</f>
        <v>41</v>
      </c>
    </row>
    <row r="278" s="245" customFormat="1" ht="16.5" customHeight="1" spans="1:7">
      <c r="A278" s="216" t="s">
        <v>155</v>
      </c>
      <c r="B278" s="254">
        <v>35</v>
      </c>
      <c r="C278" s="254">
        <v>35</v>
      </c>
      <c r="D278" s="37">
        <f t="shared" si="17"/>
        <v>1</v>
      </c>
      <c r="E278" s="37">
        <f t="shared" si="18"/>
        <v>-0.146341463414634</v>
      </c>
      <c r="F278" s="254"/>
      <c r="G278" s="255">
        <v>41</v>
      </c>
    </row>
    <row r="279" s="245" customFormat="1" ht="16.5" customHeight="1" spans="1:7">
      <c r="A279" s="259" t="s">
        <v>364</v>
      </c>
      <c r="B279" s="254">
        <f>SUM(B280:B281)</f>
        <v>1104</v>
      </c>
      <c r="C279" s="254">
        <f>SUM(C280:C281)</f>
        <v>1104</v>
      </c>
      <c r="D279" s="37">
        <f t="shared" si="17"/>
        <v>1</v>
      </c>
      <c r="E279" s="37">
        <f t="shared" si="18"/>
        <v>-0.791462032489611</v>
      </c>
      <c r="F279" s="254"/>
      <c r="G279" s="255">
        <f>SUM(G280:G281)</f>
        <v>5294</v>
      </c>
    </row>
    <row r="280" s="245" customFormat="1" ht="16.5" customHeight="1" spans="1:7">
      <c r="A280" s="216" t="s">
        <v>365</v>
      </c>
      <c r="B280" s="254">
        <v>500</v>
      </c>
      <c r="C280" s="254">
        <v>500</v>
      </c>
      <c r="D280" s="37">
        <f t="shared" si="17"/>
        <v>1</v>
      </c>
      <c r="E280" s="37">
        <f t="shared" si="18"/>
        <v>-0.905553456743483</v>
      </c>
      <c r="F280" s="254"/>
      <c r="G280" s="255">
        <v>5294</v>
      </c>
    </row>
    <row r="281" s="245" customFormat="1" ht="16.5" customHeight="1" spans="1:7">
      <c r="A281" s="216" t="s">
        <v>366</v>
      </c>
      <c r="B281" s="254">
        <v>604</v>
      </c>
      <c r="C281" s="254">
        <v>604</v>
      </c>
      <c r="D281" s="37">
        <f t="shared" si="17"/>
        <v>1</v>
      </c>
      <c r="E281" s="37"/>
      <c r="F281" s="254"/>
      <c r="G281" s="255"/>
    </row>
    <row r="282" s="245" customFormat="1" ht="16.5" customHeight="1" spans="1:7">
      <c r="A282" s="259" t="s">
        <v>367</v>
      </c>
      <c r="B282" s="254">
        <f>SUM(B283:B284)</f>
        <v>2315</v>
      </c>
      <c r="C282" s="254">
        <f>SUM(C283:C284)</f>
        <v>2315</v>
      </c>
      <c r="D282" s="37">
        <f t="shared" si="17"/>
        <v>1</v>
      </c>
      <c r="E282" s="37">
        <f t="shared" si="18"/>
        <v>-0.0123720136518771</v>
      </c>
      <c r="F282" s="254"/>
      <c r="G282" s="255">
        <f>SUM(G283:G284)</f>
        <v>2344</v>
      </c>
    </row>
    <row r="283" s="245" customFormat="1" ht="16.5" customHeight="1" spans="1:7">
      <c r="A283" s="216" t="s">
        <v>368</v>
      </c>
      <c r="B283" s="254"/>
      <c r="C283" s="254"/>
      <c r="D283" s="37"/>
      <c r="E283" s="37">
        <f t="shared" si="18"/>
        <v>-1</v>
      </c>
      <c r="F283" s="254"/>
      <c r="G283" s="255">
        <v>397</v>
      </c>
    </row>
    <row r="284" s="245" customFormat="1" ht="16.5" customHeight="1" spans="1:7">
      <c r="A284" s="216" t="s">
        <v>369</v>
      </c>
      <c r="B284" s="254">
        <v>2315</v>
      </c>
      <c r="C284" s="254">
        <v>2315</v>
      </c>
      <c r="D284" s="37">
        <f t="shared" si="17"/>
        <v>1</v>
      </c>
      <c r="E284" s="37">
        <f t="shared" si="18"/>
        <v>0.189008731381613</v>
      </c>
      <c r="F284" s="254"/>
      <c r="G284" s="255">
        <v>1947</v>
      </c>
    </row>
    <row r="285" s="245" customFormat="1" ht="16.5" customHeight="1" spans="1:7">
      <c r="A285" s="259" t="s">
        <v>370</v>
      </c>
      <c r="B285" s="254"/>
      <c r="C285" s="254"/>
      <c r="D285" s="37"/>
      <c r="E285" s="37"/>
      <c r="F285" s="254"/>
      <c r="G285" s="255"/>
    </row>
    <row r="286" s="245" customFormat="1" ht="16.5" customHeight="1" spans="1:7">
      <c r="A286" s="259" t="s">
        <v>371</v>
      </c>
      <c r="B286" s="254">
        <f>SUM(B287)</f>
        <v>8172</v>
      </c>
      <c r="C286" s="254">
        <f>SUM(C287)</f>
        <v>8172</v>
      </c>
      <c r="D286" s="37">
        <f t="shared" ref="D286:D346" si="19">C286/B286</f>
        <v>1</v>
      </c>
      <c r="E286" s="37">
        <f t="shared" si="18"/>
        <v>0.666394779771615</v>
      </c>
      <c r="F286" s="254"/>
      <c r="G286" s="255">
        <f>SUM(G287)</f>
        <v>4904</v>
      </c>
    </row>
    <row r="287" s="245" customFormat="1" ht="16.5" customHeight="1" spans="1:7">
      <c r="A287" s="216" t="s">
        <v>372</v>
      </c>
      <c r="B287" s="254">
        <v>8172</v>
      </c>
      <c r="C287" s="254">
        <v>8172</v>
      </c>
      <c r="D287" s="37">
        <f t="shared" si="19"/>
        <v>1</v>
      </c>
      <c r="E287" s="37">
        <f t="shared" si="18"/>
        <v>0.666394779771615</v>
      </c>
      <c r="F287" s="254"/>
      <c r="G287" s="255">
        <v>4904</v>
      </c>
    </row>
    <row r="288" s="245" customFormat="1" ht="16.5" customHeight="1" spans="1:7">
      <c r="A288" s="253" t="s">
        <v>70</v>
      </c>
      <c r="B288" s="254">
        <f>B289+B292+B296+B300+B307+B310+B314+B320+B324+B327+B329+B331</f>
        <v>12488</v>
      </c>
      <c r="C288" s="254">
        <f>C289+C292+C296+C300+C307+C310+C314+C320+C324+C327+C329+C331</f>
        <v>12310</v>
      </c>
      <c r="D288" s="37">
        <f t="shared" si="19"/>
        <v>0.985746316463805</v>
      </c>
      <c r="E288" s="37">
        <f t="shared" si="18"/>
        <v>-0.66135732166928</v>
      </c>
      <c r="F288" s="254"/>
      <c r="G288" s="255">
        <f>G289+G292+G296+G300+G307+G310+G314+G320+G324+G327+G329+G331</f>
        <v>36351</v>
      </c>
    </row>
    <row r="289" s="245" customFormat="1" ht="16.5" customHeight="1" spans="1:7">
      <c r="A289" s="259" t="s">
        <v>373</v>
      </c>
      <c r="B289" s="254">
        <f>SUM(B290:B291)</f>
        <v>215</v>
      </c>
      <c r="C289" s="254">
        <f>SUM(C290:C291)</f>
        <v>215</v>
      </c>
      <c r="D289" s="37">
        <f t="shared" si="19"/>
        <v>1</v>
      </c>
      <c r="E289" s="37">
        <f t="shared" si="18"/>
        <v>-0.598130841121495</v>
      </c>
      <c r="F289" s="254"/>
      <c r="G289" s="255">
        <f>SUM(G290:G291)</f>
        <v>535</v>
      </c>
    </row>
    <row r="290" s="245" customFormat="1" ht="16.5" customHeight="1" spans="1:7">
      <c r="A290" s="216" t="s">
        <v>374</v>
      </c>
      <c r="B290" s="254">
        <v>138</v>
      </c>
      <c r="C290" s="254">
        <v>138</v>
      </c>
      <c r="D290" s="37">
        <f t="shared" si="19"/>
        <v>1</v>
      </c>
      <c r="E290" s="37">
        <f t="shared" si="18"/>
        <v>0.0534351145038168</v>
      </c>
      <c r="F290" s="254"/>
      <c r="G290" s="255">
        <v>131</v>
      </c>
    </row>
    <row r="291" s="245" customFormat="1" ht="16.5" customHeight="1" spans="1:7">
      <c r="A291" s="216" t="s">
        <v>375</v>
      </c>
      <c r="B291" s="254">
        <v>77</v>
      </c>
      <c r="C291" s="254">
        <v>77</v>
      </c>
      <c r="D291" s="37">
        <f t="shared" si="19"/>
        <v>1</v>
      </c>
      <c r="E291" s="37">
        <f t="shared" si="18"/>
        <v>-0.809405940594059</v>
      </c>
      <c r="F291" s="254"/>
      <c r="G291" s="255">
        <v>404</v>
      </c>
    </row>
    <row r="292" s="245" customFormat="1" ht="16.5" customHeight="1" spans="1:7">
      <c r="A292" s="259" t="s">
        <v>376</v>
      </c>
      <c r="B292" s="254">
        <f>SUM(B293:B295)</f>
        <v>-1370</v>
      </c>
      <c r="C292" s="254">
        <f>SUM(C293:C295)</f>
        <v>-1370</v>
      </c>
      <c r="D292" s="37">
        <f t="shared" si="19"/>
        <v>1</v>
      </c>
      <c r="E292" s="37">
        <f t="shared" si="18"/>
        <v>-1.13650856915106</v>
      </c>
      <c r="F292" s="254"/>
      <c r="G292" s="255">
        <f>SUM(G293:G295)</f>
        <v>10036</v>
      </c>
    </row>
    <row r="293" s="245" customFormat="1" ht="16.5" customHeight="1" spans="1:7">
      <c r="A293" s="216" t="s">
        <v>377</v>
      </c>
      <c r="B293" s="254">
        <v>3955</v>
      </c>
      <c r="C293" s="254">
        <v>3955</v>
      </c>
      <c r="D293" s="37">
        <f t="shared" si="19"/>
        <v>1</v>
      </c>
      <c r="E293" s="37">
        <f t="shared" si="18"/>
        <v>-0.0978558394160584</v>
      </c>
      <c r="F293" s="254"/>
      <c r="G293" s="255">
        <v>4384</v>
      </c>
    </row>
    <row r="294" s="245" customFormat="1" ht="16.5" customHeight="1" spans="1:7">
      <c r="A294" s="216" t="s">
        <v>378</v>
      </c>
      <c r="B294" s="254">
        <v>1134</v>
      </c>
      <c r="C294" s="254">
        <v>1134</v>
      </c>
      <c r="D294" s="37">
        <f t="shared" si="19"/>
        <v>1</v>
      </c>
      <c r="E294" s="37">
        <f t="shared" si="18"/>
        <v>-0.161242603550296</v>
      </c>
      <c r="F294" s="254"/>
      <c r="G294" s="255">
        <v>1352</v>
      </c>
    </row>
    <row r="295" s="245" customFormat="1" ht="16.5" customHeight="1" spans="1:7">
      <c r="A295" s="216" t="s">
        <v>379</v>
      </c>
      <c r="B295" s="254">
        <v>-6459</v>
      </c>
      <c r="C295" s="254">
        <v>-6459</v>
      </c>
      <c r="D295" s="37">
        <f t="shared" si="19"/>
        <v>1</v>
      </c>
      <c r="E295" s="37">
        <f t="shared" si="18"/>
        <v>-2.50209302325581</v>
      </c>
      <c r="F295" s="254"/>
      <c r="G295" s="255">
        <v>4300</v>
      </c>
    </row>
    <row r="296" s="245" customFormat="1" ht="16.5" customHeight="1" spans="1:7">
      <c r="A296" s="259" t="s">
        <v>380</v>
      </c>
      <c r="B296" s="254">
        <f>SUM(B297:B299)</f>
        <v>3240</v>
      </c>
      <c r="C296" s="254">
        <f>SUM(C297:C299)</f>
        <v>3220</v>
      </c>
      <c r="D296" s="37">
        <f t="shared" si="19"/>
        <v>0.993827160493827</v>
      </c>
      <c r="E296" s="37">
        <f t="shared" si="18"/>
        <v>-0.310197086546701</v>
      </c>
      <c r="F296" s="254"/>
      <c r="G296" s="255">
        <f>SUM(G297:G299)</f>
        <v>4668</v>
      </c>
    </row>
    <row r="297" s="245" customFormat="1" ht="16.5" customHeight="1" spans="1:7">
      <c r="A297" s="216" t="s">
        <v>381</v>
      </c>
      <c r="B297" s="254">
        <v>647</v>
      </c>
      <c r="C297" s="254">
        <v>647</v>
      </c>
      <c r="D297" s="37">
        <f t="shared" si="19"/>
        <v>1</v>
      </c>
      <c r="E297" s="37">
        <f t="shared" si="18"/>
        <v>-0.132707774798928</v>
      </c>
      <c r="F297" s="254"/>
      <c r="G297" s="255">
        <v>746</v>
      </c>
    </row>
    <row r="298" s="245" customFormat="1" ht="16.5" customHeight="1" spans="1:7">
      <c r="A298" s="216" t="s">
        <v>382</v>
      </c>
      <c r="B298" s="254">
        <v>2469</v>
      </c>
      <c r="C298" s="254">
        <v>2469</v>
      </c>
      <c r="D298" s="37">
        <f t="shared" si="19"/>
        <v>1</v>
      </c>
      <c r="E298" s="37">
        <f t="shared" si="18"/>
        <v>-0.169804976462677</v>
      </c>
      <c r="F298" s="254"/>
      <c r="G298" s="255">
        <v>2974</v>
      </c>
    </row>
    <row r="299" s="245" customFormat="1" ht="16.5" customHeight="1" spans="1:7">
      <c r="A299" s="216" t="s">
        <v>383</v>
      </c>
      <c r="B299" s="254">
        <v>124</v>
      </c>
      <c r="C299" s="254">
        <v>104</v>
      </c>
      <c r="D299" s="37">
        <f t="shared" si="19"/>
        <v>0.838709677419355</v>
      </c>
      <c r="E299" s="37">
        <f t="shared" si="18"/>
        <v>-0.890295358649789</v>
      </c>
      <c r="F299" s="254"/>
      <c r="G299" s="255">
        <v>948</v>
      </c>
    </row>
    <row r="300" s="245" customFormat="1" ht="16.5" customHeight="1" spans="1:7">
      <c r="A300" s="259" t="s">
        <v>384</v>
      </c>
      <c r="B300" s="254">
        <f>SUM(B301:B306)</f>
        <v>3375</v>
      </c>
      <c r="C300" s="254">
        <f>SUM(C301:C306)</f>
        <v>3277</v>
      </c>
      <c r="D300" s="37">
        <f t="shared" si="19"/>
        <v>0.970962962962963</v>
      </c>
      <c r="E300" s="37">
        <f t="shared" si="18"/>
        <v>-0.247012867647059</v>
      </c>
      <c r="F300" s="254"/>
      <c r="G300" s="255">
        <f>SUM(G301:G306)</f>
        <v>4352</v>
      </c>
    </row>
    <row r="301" s="245" customFormat="1" ht="16.5" customHeight="1" spans="1:7">
      <c r="A301" s="216" t="s">
        <v>385</v>
      </c>
      <c r="B301" s="254">
        <v>429</v>
      </c>
      <c r="C301" s="254">
        <v>429</v>
      </c>
      <c r="D301" s="37">
        <f t="shared" si="19"/>
        <v>1</v>
      </c>
      <c r="E301" s="37">
        <f t="shared" si="18"/>
        <v>-0.232558139534884</v>
      </c>
      <c r="F301" s="254"/>
      <c r="G301" s="255">
        <v>559</v>
      </c>
    </row>
    <row r="302" s="245" customFormat="1" ht="16.5" customHeight="1" spans="1:7">
      <c r="A302" s="216" t="s">
        <v>386</v>
      </c>
      <c r="B302" s="254">
        <v>450</v>
      </c>
      <c r="C302" s="254">
        <v>450</v>
      </c>
      <c r="D302" s="37">
        <f t="shared" si="19"/>
        <v>1</v>
      </c>
      <c r="E302" s="37">
        <f t="shared" si="18"/>
        <v>-0.155722326454034</v>
      </c>
      <c r="F302" s="254"/>
      <c r="G302" s="255">
        <v>533</v>
      </c>
    </row>
    <row r="303" s="245" customFormat="1" ht="16.5" customHeight="1" spans="1:7">
      <c r="A303" s="216" t="s">
        <v>387</v>
      </c>
      <c r="B303" s="254">
        <v>482</v>
      </c>
      <c r="C303" s="254">
        <v>482</v>
      </c>
      <c r="D303" s="37">
        <f t="shared" si="19"/>
        <v>1</v>
      </c>
      <c r="E303" s="37">
        <f t="shared" si="18"/>
        <v>-0.0604288499025341</v>
      </c>
      <c r="F303" s="254"/>
      <c r="G303" s="255">
        <v>513</v>
      </c>
    </row>
    <row r="304" s="245" customFormat="1" ht="16.5" customHeight="1" spans="1:7">
      <c r="A304" s="216" t="s">
        <v>388</v>
      </c>
      <c r="B304" s="254">
        <v>1969</v>
      </c>
      <c r="C304" s="254">
        <v>1967</v>
      </c>
      <c r="D304" s="37">
        <f t="shared" si="19"/>
        <v>0.998984255967496</v>
      </c>
      <c r="E304" s="37">
        <f t="shared" si="18"/>
        <v>-0.185507246376812</v>
      </c>
      <c r="F304" s="254"/>
      <c r="G304" s="255">
        <v>2415</v>
      </c>
    </row>
    <row r="305" s="245" customFormat="1" ht="16.5" customHeight="1" spans="1:7">
      <c r="A305" s="216" t="s">
        <v>389</v>
      </c>
      <c r="B305" s="254">
        <v>0</v>
      </c>
      <c r="C305" s="254">
        <v>-83</v>
      </c>
      <c r="D305" s="37"/>
      <c r="E305" s="37">
        <f t="shared" si="18"/>
        <v>-1.43915343915344</v>
      </c>
      <c r="F305" s="254"/>
      <c r="G305" s="255">
        <v>189</v>
      </c>
    </row>
    <row r="306" s="245" customFormat="1" ht="16.5" customHeight="1" spans="1:7">
      <c r="A306" s="216" t="s">
        <v>390</v>
      </c>
      <c r="B306" s="254">
        <v>45</v>
      </c>
      <c r="C306" s="254">
        <v>32</v>
      </c>
      <c r="D306" s="37">
        <f t="shared" si="19"/>
        <v>0.711111111111111</v>
      </c>
      <c r="E306" s="37">
        <f t="shared" si="18"/>
        <v>-0.776223776223776</v>
      </c>
      <c r="F306" s="254"/>
      <c r="G306" s="255">
        <v>143</v>
      </c>
    </row>
    <row r="307" s="245" customFormat="1" ht="16.5" customHeight="1" spans="1:7">
      <c r="A307" s="259" t="s">
        <v>391</v>
      </c>
      <c r="B307" s="254">
        <f>SUM(B308:B309)</f>
        <v>31</v>
      </c>
      <c r="C307" s="254">
        <f>SUM(C308:C309)</f>
        <v>31</v>
      </c>
      <c r="D307" s="37">
        <f t="shared" si="19"/>
        <v>1</v>
      </c>
      <c r="E307" s="37">
        <f t="shared" si="18"/>
        <v>-0.436363636363636</v>
      </c>
      <c r="F307" s="254"/>
      <c r="G307" s="255">
        <f>SUM(G308:G309)</f>
        <v>55</v>
      </c>
    </row>
    <row r="308" s="245" customFormat="1" ht="16.5" customHeight="1" spans="1:7">
      <c r="A308" s="216" t="s">
        <v>392</v>
      </c>
      <c r="B308" s="254">
        <v>31</v>
      </c>
      <c r="C308" s="254">
        <v>31</v>
      </c>
      <c r="D308" s="37">
        <f t="shared" si="19"/>
        <v>1</v>
      </c>
      <c r="E308" s="37">
        <f t="shared" si="18"/>
        <v>0.55</v>
      </c>
      <c r="F308" s="254"/>
      <c r="G308" s="255">
        <v>20</v>
      </c>
    </row>
    <row r="309" s="245" customFormat="1" ht="16.5" customHeight="1" spans="1:7">
      <c r="A309" s="216" t="s">
        <v>393</v>
      </c>
      <c r="B309" s="254"/>
      <c r="C309" s="254"/>
      <c r="D309" s="37"/>
      <c r="E309" s="37"/>
      <c r="F309" s="254"/>
      <c r="G309" s="255">
        <v>35</v>
      </c>
    </row>
    <row r="310" s="245" customFormat="1" ht="16.5" customHeight="1" spans="1:7">
      <c r="A310" s="259" t="s">
        <v>394</v>
      </c>
      <c r="B310" s="254">
        <f>SUM(B311:B313)</f>
        <v>1348</v>
      </c>
      <c r="C310" s="254">
        <f>SUM(C311:C313)</f>
        <v>1326</v>
      </c>
      <c r="D310" s="37">
        <f t="shared" si="19"/>
        <v>0.983679525222552</v>
      </c>
      <c r="E310" s="37">
        <f t="shared" si="18"/>
        <v>0.15304347826087</v>
      </c>
      <c r="F310" s="254"/>
      <c r="G310" s="255">
        <f>SUM(G311:G313)</f>
        <v>1150</v>
      </c>
    </row>
    <row r="311" s="245" customFormat="1" ht="16.5" customHeight="1" spans="1:7">
      <c r="A311" s="216" t="s">
        <v>395</v>
      </c>
      <c r="B311" s="254">
        <v>394</v>
      </c>
      <c r="C311" s="254">
        <v>394</v>
      </c>
      <c r="D311" s="37">
        <f t="shared" si="19"/>
        <v>1</v>
      </c>
      <c r="E311" s="37">
        <f t="shared" si="18"/>
        <v>1.11827956989247</v>
      </c>
      <c r="F311" s="254"/>
      <c r="G311" s="255">
        <v>186</v>
      </c>
    </row>
    <row r="312" s="245" customFormat="1" ht="16.5" customHeight="1" spans="1:7">
      <c r="A312" s="216" t="s">
        <v>396</v>
      </c>
      <c r="B312" s="254">
        <v>19</v>
      </c>
      <c r="C312" s="254">
        <v>9</v>
      </c>
      <c r="D312" s="37">
        <f t="shared" si="19"/>
        <v>0.473684210526316</v>
      </c>
      <c r="E312" s="37">
        <f t="shared" si="18"/>
        <v>-0.470588235294118</v>
      </c>
      <c r="F312" s="254"/>
      <c r="G312" s="255">
        <v>17</v>
      </c>
    </row>
    <row r="313" s="245" customFormat="1" ht="16.5" customHeight="1" spans="1:7">
      <c r="A313" s="216" t="s">
        <v>397</v>
      </c>
      <c r="B313" s="254">
        <v>935</v>
      </c>
      <c r="C313" s="254">
        <v>923</v>
      </c>
      <c r="D313" s="37">
        <f t="shared" si="19"/>
        <v>0.98716577540107</v>
      </c>
      <c r="E313" s="37">
        <f t="shared" si="18"/>
        <v>-0.0253431890179514</v>
      </c>
      <c r="F313" s="254"/>
      <c r="G313" s="255">
        <v>947</v>
      </c>
    </row>
    <row r="314" s="245" customFormat="1" ht="16.5" customHeight="1" spans="1:7">
      <c r="A314" s="259" t="s">
        <v>398</v>
      </c>
      <c r="B314" s="254">
        <f>SUM(B315:B319)</f>
        <v>954</v>
      </c>
      <c r="C314" s="254">
        <f>SUM(C315:C319)</f>
        <v>916</v>
      </c>
      <c r="D314" s="37">
        <f t="shared" si="19"/>
        <v>0.960167714884696</v>
      </c>
      <c r="E314" s="37">
        <f t="shared" si="18"/>
        <v>0.089179548156956</v>
      </c>
      <c r="F314" s="254"/>
      <c r="G314" s="255">
        <f>SUM(G315:G319)</f>
        <v>841</v>
      </c>
    </row>
    <row r="315" s="245" customFormat="1" ht="16.5" customHeight="1" spans="1:7">
      <c r="A315" s="216" t="s">
        <v>399</v>
      </c>
      <c r="B315" s="254">
        <v>171</v>
      </c>
      <c r="C315" s="254">
        <v>171</v>
      </c>
      <c r="D315" s="37">
        <f t="shared" si="19"/>
        <v>1</v>
      </c>
      <c r="E315" s="37">
        <f t="shared" si="18"/>
        <v>-0.173913043478261</v>
      </c>
      <c r="F315" s="254"/>
      <c r="G315" s="255">
        <v>207</v>
      </c>
    </row>
    <row r="316" s="245" customFormat="1" ht="16.5" customHeight="1" spans="1:7">
      <c r="A316" s="216" t="s">
        <v>400</v>
      </c>
      <c r="B316" s="254">
        <v>-2</v>
      </c>
      <c r="C316" s="254">
        <v>-2</v>
      </c>
      <c r="D316" s="37">
        <f t="shared" si="19"/>
        <v>1</v>
      </c>
      <c r="E316" s="37">
        <f t="shared" si="18"/>
        <v>-0.714285714285714</v>
      </c>
      <c r="F316" s="254"/>
      <c r="G316" s="255">
        <v>-7</v>
      </c>
    </row>
    <row r="317" s="245" customFormat="1" ht="16.5" customHeight="1" spans="1:7">
      <c r="A317" s="216" t="s">
        <v>401</v>
      </c>
      <c r="B317" s="254">
        <v>70</v>
      </c>
      <c r="C317" s="254">
        <v>32</v>
      </c>
      <c r="D317" s="37">
        <f t="shared" si="19"/>
        <v>0.457142857142857</v>
      </c>
      <c r="E317" s="37"/>
      <c r="F317" s="254"/>
      <c r="G317" s="255"/>
    </row>
    <row r="318" s="245" customFormat="1" ht="16.5" customHeight="1" spans="1:7">
      <c r="A318" s="216" t="s">
        <v>159</v>
      </c>
      <c r="B318" s="254">
        <v>543</v>
      </c>
      <c r="C318" s="254">
        <v>543</v>
      </c>
      <c r="D318" s="37">
        <f t="shared" si="19"/>
        <v>1</v>
      </c>
      <c r="E318" s="37">
        <f t="shared" si="18"/>
        <v>-0.0965058236272879</v>
      </c>
      <c r="F318" s="254"/>
      <c r="G318" s="255">
        <v>601</v>
      </c>
    </row>
    <row r="319" s="245" customFormat="1" ht="16.5" customHeight="1" spans="1:7">
      <c r="A319" s="216" t="s">
        <v>402</v>
      </c>
      <c r="B319" s="254">
        <v>172</v>
      </c>
      <c r="C319" s="254">
        <v>172</v>
      </c>
      <c r="D319" s="37">
        <f t="shared" si="19"/>
        <v>1</v>
      </c>
      <c r="E319" s="37">
        <f t="shared" si="18"/>
        <v>3.3</v>
      </c>
      <c r="F319" s="254"/>
      <c r="G319" s="255">
        <v>40</v>
      </c>
    </row>
    <row r="320" s="245" customFormat="1" ht="16.5" customHeight="1" spans="1:7">
      <c r="A320" s="259" t="s">
        <v>403</v>
      </c>
      <c r="B320" s="254">
        <f>SUM(B321:B323)</f>
        <v>667</v>
      </c>
      <c r="C320" s="254">
        <f>SUM(C321:C323)</f>
        <v>667</v>
      </c>
      <c r="D320" s="37">
        <f t="shared" si="19"/>
        <v>1</v>
      </c>
      <c r="E320" s="37">
        <f t="shared" si="18"/>
        <v>0.938953488372093</v>
      </c>
      <c r="F320" s="254"/>
      <c r="G320" s="255">
        <f>SUM(G321:G323)</f>
        <v>344</v>
      </c>
    </row>
    <row r="321" s="245" customFormat="1" ht="16.5" customHeight="1" spans="1:7">
      <c r="A321" s="216" t="s">
        <v>404</v>
      </c>
      <c r="B321" s="254">
        <v>261</v>
      </c>
      <c r="C321" s="254">
        <v>261</v>
      </c>
      <c r="D321" s="37">
        <f t="shared" si="19"/>
        <v>1</v>
      </c>
      <c r="E321" s="37">
        <f t="shared" si="18"/>
        <v>0.165178571428571</v>
      </c>
      <c r="F321" s="254"/>
      <c r="G321" s="255">
        <v>224</v>
      </c>
    </row>
    <row r="322" s="245" customFormat="1" ht="16.5" customHeight="1" spans="1:7">
      <c r="A322" s="216" t="s">
        <v>405</v>
      </c>
      <c r="B322" s="254">
        <v>108</v>
      </c>
      <c r="C322" s="254">
        <v>108</v>
      </c>
      <c r="D322" s="37">
        <f t="shared" si="19"/>
        <v>1</v>
      </c>
      <c r="E322" s="37">
        <f t="shared" si="18"/>
        <v>-0.1</v>
      </c>
      <c r="F322" s="254"/>
      <c r="G322" s="255">
        <v>120</v>
      </c>
    </row>
    <row r="323" s="245" customFormat="1" ht="16.5" customHeight="1" spans="1:7">
      <c r="A323" s="216" t="s">
        <v>406</v>
      </c>
      <c r="B323" s="254">
        <v>298</v>
      </c>
      <c r="C323" s="254">
        <v>298</v>
      </c>
      <c r="D323" s="37">
        <f t="shared" si="19"/>
        <v>1</v>
      </c>
      <c r="E323" s="37"/>
      <c r="F323" s="254"/>
      <c r="G323" s="258"/>
    </row>
    <row r="324" s="245" customFormat="1" ht="16.5" customHeight="1" spans="1:7">
      <c r="A324" s="216" t="s">
        <v>407</v>
      </c>
      <c r="B324" s="254">
        <f>SUM(B325:B326)</f>
        <v>1746</v>
      </c>
      <c r="C324" s="254">
        <f>SUM(C325:C326)</f>
        <v>1746</v>
      </c>
      <c r="D324" s="37">
        <f t="shared" si="19"/>
        <v>1</v>
      </c>
      <c r="E324" s="37">
        <f t="shared" si="18"/>
        <v>-0.864661654135338</v>
      </c>
      <c r="F324" s="254"/>
      <c r="G324" s="255">
        <f>SUM(G325:G326)</f>
        <v>12901</v>
      </c>
    </row>
    <row r="325" s="245" customFormat="1" ht="16.5" customHeight="1" spans="1:7">
      <c r="A325" s="216" t="s">
        <v>408</v>
      </c>
      <c r="B325" s="254">
        <v>1329</v>
      </c>
      <c r="C325" s="254">
        <v>1329</v>
      </c>
      <c r="D325" s="37">
        <f t="shared" si="19"/>
        <v>1</v>
      </c>
      <c r="E325" s="37">
        <f t="shared" si="18"/>
        <v>-0.893756495323367</v>
      </c>
      <c r="F325" s="254"/>
      <c r="G325" s="258">
        <v>12509</v>
      </c>
    </row>
    <row r="326" s="245" customFormat="1" ht="16.5" customHeight="1" spans="1:7">
      <c r="A326" s="216" t="s">
        <v>409</v>
      </c>
      <c r="B326" s="254">
        <v>417</v>
      </c>
      <c r="C326" s="254">
        <v>417</v>
      </c>
      <c r="D326" s="37">
        <f t="shared" si="19"/>
        <v>1</v>
      </c>
      <c r="E326" s="37">
        <f t="shared" si="18"/>
        <v>0.0637755102040816</v>
      </c>
      <c r="F326" s="254"/>
      <c r="G326" s="258">
        <v>392</v>
      </c>
    </row>
    <row r="327" s="245" customFormat="1" ht="16.5" customHeight="1" spans="1:7">
      <c r="A327" s="216" t="s">
        <v>410</v>
      </c>
      <c r="B327" s="254">
        <f>SUM(B328)</f>
        <v>619</v>
      </c>
      <c r="C327" s="254">
        <f>SUM(C328)</f>
        <v>619</v>
      </c>
      <c r="D327" s="37">
        <f t="shared" si="19"/>
        <v>1</v>
      </c>
      <c r="E327" s="37">
        <f t="shared" si="18"/>
        <v>-0.0358255451713396</v>
      </c>
      <c r="F327" s="254"/>
      <c r="G327" s="255">
        <f>SUM(G328)</f>
        <v>642</v>
      </c>
    </row>
    <row r="328" s="245" customFormat="1" ht="16.5" customHeight="1" spans="1:7">
      <c r="A328" s="216" t="s">
        <v>411</v>
      </c>
      <c r="B328" s="254">
        <v>619</v>
      </c>
      <c r="C328" s="254">
        <v>619</v>
      </c>
      <c r="D328" s="37">
        <f t="shared" si="19"/>
        <v>1</v>
      </c>
      <c r="E328" s="37">
        <f t="shared" si="18"/>
        <v>-0.0358255451713396</v>
      </c>
      <c r="F328" s="254"/>
      <c r="G328" s="258">
        <v>642</v>
      </c>
    </row>
    <row r="329" s="245" customFormat="1" ht="16.5" customHeight="1" spans="1:7">
      <c r="A329" s="216" t="s">
        <v>412</v>
      </c>
      <c r="B329" s="254">
        <f>SUM(B330)</f>
        <v>78</v>
      </c>
      <c r="C329" s="254">
        <f>SUM(C330)</f>
        <v>78</v>
      </c>
      <c r="D329" s="37">
        <f t="shared" si="19"/>
        <v>1</v>
      </c>
      <c r="E329" s="37"/>
      <c r="F329" s="254"/>
      <c r="G329" s="255">
        <f>SUM(G330)</f>
        <v>-124</v>
      </c>
    </row>
    <row r="330" s="245" customFormat="1" ht="16.5" customHeight="1" spans="1:7">
      <c r="A330" s="216" t="s">
        <v>413</v>
      </c>
      <c r="B330" s="254">
        <v>78</v>
      </c>
      <c r="C330" s="254">
        <v>78</v>
      </c>
      <c r="D330" s="37">
        <f t="shared" si="19"/>
        <v>1</v>
      </c>
      <c r="E330" s="37"/>
      <c r="F330" s="254"/>
      <c r="G330" s="258">
        <v>-124</v>
      </c>
    </row>
    <row r="331" s="245" customFormat="1" ht="16.5" customHeight="1" spans="1:7">
      <c r="A331" s="259" t="s">
        <v>414</v>
      </c>
      <c r="B331" s="254">
        <f>SUM(B332)</f>
        <v>1585</v>
      </c>
      <c r="C331" s="254">
        <f>SUM(C332)</f>
        <v>1585</v>
      </c>
      <c r="D331" s="37">
        <f t="shared" si="19"/>
        <v>1</v>
      </c>
      <c r="E331" s="37">
        <f t="shared" si="18"/>
        <v>0.666666666666667</v>
      </c>
      <c r="F331" s="254"/>
      <c r="G331" s="255">
        <f>SUM(G332)</f>
        <v>951</v>
      </c>
    </row>
    <row r="332" s="245" customFormat="1" ht="16.5" customHeight="1" spans="1:7">
      <c r="A332" s="216" t="s">
        <v>415</v>
      </c>
      <c r="B332" s="254">
        <v>1585</v>
      </c>
      <c r="C332" s="254">
        <v>1585</v>
      </c>
      <c r="D332" s="37">
        <f t="shared" si="19"/>
        <v>1</v>
      </c>
      <c r="E332" s="37">
        <f t="shared" si="18"/>
        <v>0.666666666666667</v>
      </c>
      <c r="F332" s="254"/>
      <c r="G332" s="255">
        <v>951</v>
      </c>
    </row>
    <row r="333" s="245" customFormat="1" ht="16.5" customHeight="1" spans="1:7">
      <c r="A333" s="265" t="s">
        <v>71</v>
      </c>
      <c r="B333" s="254">
        <f>B334+B337+B339+B344+B346+B352+B358+B360</f>
        <v>4064</v>
      </c>
      <c r="C333" s="254">
        <f>C334+C337+C339+C344+C346+C352+C358+C360</f>
        <v>3982</v>
      </c>
      <c r="D333" s="37">
        <f t="shared" si="19"/>
        <v>0.979822834645669</v>
      </c>
      <c r="E333" s="37">
        <f t="shared" si="18"/>
        <v>-0.379364089775561</v>
      </c>
      <c r="F333" s="254"/>
      <c r="G333" s="255">
        <f>G334+G337+G339+G344+G346+G352+G358+G360</f>
        <v>6416</v>
      </c>
    </row>
    <row r="334" s="245" customFormat="1" ht="16.5" customHeight="1" spans="1:7">
      <c r="A334" s="259" t="s">
        <v>416</v>
      </c>
      <c r="B334" s="254">
        <f>SUM(B335:B336)</f>
        <v>362</v>
      </c>
      <c r="C334" s="254">
        <f>SUM(C335:C336)</f>
        <v>362</v>
      </c>
      <c r="D334" s="37">
        <f t="shared" si="19"/>
        <v>1</v>
      </c>
      <c r="E334" s="37">
        <f t="shared" si="18"/>
        <v>0.0402298850574713</v>
      </c>
      <c r="F334" s="254"/>
      <c r="G334" s="255">
        <f>SUM(G335:G336)</f>
        <v>348</v>
      </c>
    </row>
    <row r="335" s="245" customFormat="1" ht="16.5" customHeight="1" spans="1:7">
      <c r="A335" s="216" t="s">
        <v>417</v>
      </c>
      <c r="B335" s="254">
        <v>373</v>
      </c>
      <c r="C335" s="254">
        <v>373</v>
      </c>
      <c r="D335" s="37">
        <f t="shared" si="19"/>
        <v>1</v>
      </c>
      <c r="E335" s="37">
        <f t="shared" si="18"/>
        <v>0.0718390804597701</v>
      </c>
      <c r="F335" s="254"/>
      <c r="G335" s="255">
        <v>348</v>
      </c>
    </row>
    <row r="336" s="245" customFormat="1" ht="16.5" customHeight="1" spans="1:7">
      <c r="A336" s="216" t="s">
        <v>418</v>
      </c>
      <c r="B336" s="254">
        <v>-11</v>
      </c>
      <c r="C336" s="254">
        <v>-11</v>
      </c>
      <c r="D336" s="37">
        <f t="shared" si="19"/>
        <v>1</v>
      </c>
      <c r="E336" s="37"/>
      <c r="F336" s="254"/>
      <c r="G336" s="258"/>
    </row>
    <row r="337" s="245" customFormat="1" ht="16.5" customHeight="1" spans="1:7">
      <c r="A337" s="259" t="s">
        <v>419</v>
      </c>
      <c r="B337" s="254">
        <f>SUM(B338)</f>
        <v>1252</v>
      </c>
      <c r="C337" s="254">
        <f>SUM(C338)</f>
        <v>1252</v>
      </c>
      <c r="D337" s="37">
        <f t="shared" si="19"/>
        <v>1</v>
      </c>
      <c r="E337" s="37">
        <f t="shared" si="18"/>
        <v>-0.122634898388227</v>
      </c>
      <c r="F337" s="254"/>
      <c r="G337" s="255">
        <f>SUM(G338)</f>
        <v>1427</v>
      </c>
    </row>
    <row r="338" s="245" customFormat="1" ht="16.5" customHeight="1" spans="1:7">
      <c r="A338" s="216" t="s">
        <v>420</v>
      </c>
      <c r="B338" s="254">
        <v>1252</v>
      </c>
      <c r="C338" s="254">
        <v>1252</v>
      </c>
      <c r="D338" s="37">
        <f t="shared" si="19"/>
        <v>1</v>
      </c>
      <c r="E338" s="37">
        <f t="shared" si="18"/>
        <v>-0.122634898388227</v>
      </c>
      <c r="F338" s="254"/>
      <c r="G338" s="255">
        <v>1427</v>
      </c>
    </row>
    <row r="339" s="245" customFormat="1" ht="16.5" customHeight="1" spans="1:7">
      <c r="A339" s="259" t="s">
        <v>421</v>
      </c>
      <c r="B339" s="254">
        <f>SUM(B340:B343)</f>
        <v>62</v>
      </c>
      <c r="C339" s="254">
        <f>SUM(C340:C343)</f>
        <v>62</v>
      </c>
      <c r="D339" s="37">
        <f t="shared" si="19"/>
        <v>1</v>
      </c>
      <c r="E339" s="37">
        <f t="shared" ref="E339:E404" si="20">(C339-G339)/G339</f>
        <v>-0.985439173320808</v>
      </c>
      <c r="F339" s="254"/>
      <c r="G339" s="255">
        <f>SUM(G340:G343)</f>
        <v>4258</v>
      </c>
    </row>
    <row r="340" s="245" customFormat="1" ht="16.5" customHeight="1" spans="1:7">
      <c r="A340" s="216" t="s">
        <v>422</v>
      </c>
      <c r="B340" s="254">
        <v>116</v>
      </c>
      <c r="C340" s="254">
        <v>116</v>
      </c>
      <c r="D340" s="37">
        <f t="shared" si="19"/>
        <v>1</v>
      </c>
      <c r="E340" s="37">
        <f t="shared" si="20"/>
        <v>-0.814992025518341</v>
      </c>
      <c r="F340" s="254"/>
      <c r="G340" s="255">
        <v>627</v>
      </c>
    </row>
    <row r="341" s="245" customFormat="1" ht="16.5" customHeight="1" spans="1:7">
      <c r="A341" s="216" t="s">
        <v>423</v>
      </c>
      <c r="B341" s="254">
        <v>-48</v>
      </c>
      <c r="C341" s="254">
        <v>-48</v>
      </c>
      <c r="D341" s="37">
        <f t="shared" si="19"/>
        <v>1</v>
      </c>
      <c r="E341" s="37">
        <f t="shared" si="20"/>
        <v>-0.52</v>
      </c>
      <c r="F341" s="254"/>
      <c r="G341" s="255">
        <v>-100</v>
      </c>
    </row>
    <row r="342" s="245" customFormat="1" ht="16.5" customHeight="1" spans="1:7">
      <c r="A342" s="216" t="s">
        <v>424</v>
      </c>
      <c r="B342" s="254"/>
      <c r="C342" s="254"/>
      <c r="D342" s="37"/>
      <c r="E342" s="37">
        <f t="shared" si="20"/>
        <v>-1</v>
      </c>
      <c r="F342" s="254"/>
      <c r="G342" s="255">
        <v>215</v>
      </c>
    </row>
    <row r="343" s="245" customFormat="1" ht="16.5" customHeight="1" spans="1:7">
      <c r="A343" s="216" t="s">
        <v>425</v>
      </c>
      <c r="B343" s="254">
        <v>-6</v>
      </c>
      <c r="C343" s="254">
        <v>-6</v>
      </c>
      <c r="D343" s="37">
        <f t="shared" si="19"/>
        <v>1</v>
      </c>
      <c r="E343" s="37">
        <f t="shared" si="20"/>
        <v>-1.00170648464164</v>
      </c>
      <c r="F343" s="254"/>
      <c r="G343" s="255">
        <f>1537+1979</f>
        <v>3516</v>
      </c>
    </row>
    <row r="344" s="245" customFormat="1" ht="16.5" customHeight="1" spans="1:7">
      <c r="A344" s="259" t="s">
        <v>426</v>
      </c>
      <c r="B344" s="254">
        <f>SUM(B345)</f>
        <v>84</v>
      </c>
      <c r="C344" s="254">
        <f>SUM(C345)</f>
        <v>84</v>
      </c>
      <c r="D344" s="37">
        <f t="shared" si="19"/>
        <v>1</v>
      </c>
      <c r="E344" s="37"/>
      <c r="F344" s="254"/>
      <c r="G344" s="255">
        <f>SUM(G345)</f>
        <v>-154</v>
      </c>
    </row>
    <row r="345" s="245" customFormat="1" ht="16.5" customHeight="1" spans="1:7">
      <c r="A345" s="216" t="s">
        <v>427</v>
      </c>
      <c r="B345" s="254">
        <v>84</v>
      </c>
      <c r="C345" s="254">
        <v>84</v>
      </c>
      <c r="D345" s="37">
        <f t="shared" si="19"/>
        <v>1</v>
      </c>
      <c r="E345" s="37"/>
      <c r="F345" s="254"/>
      <c r="G345" s="255">
        <v>-154</v>
      </c>
    </row>
    <row r="346" s="245" customFormat="1" ht="16.5" customHeight="1" spans="1:7">
      <c r="A346" s="259" t="s">
        <v>428</v>
      </c>
      <c r="B346" s="254">
        <f>SUM(B347:B351)</f>
        <v>75</v>
      </c>
      <c r="C346" s="254">
        <f>SUM(C347:C351)</f>
        <v>70</v>
      </c>
      <c r="D346" s="37">
        <f t="shared" si="19"/>
        <v>0.933333333333333</v>
      </c>
      <c r="E346" s="37">
        <f t="shared" si="20"/>
        <v>0.428571428571429</v>
      </c>
      <c r="F346" s="254"/>
      <c r="G346" s="255">
        <f>SUM(G347:G351)</f>
        <v>49</v>
      </c>
    </row>
    <row r="347" s="245" customFormat="1" ht="16.5" customHeight="1" spans="1:7">
      <c r="A347" s="216" t="s">
        <v>429</v>
      </c>
      <c r="B347" s="254"/>
      <c r="C347" s="254"/>
      <c r="D347" s="37"/>
      <c r="E347" s="37"/>
      <c r="F347" s="254"/>
      <c r="G347" s="255"/>
    </row>
    <row r="348" s="245" customFormat="1" ht="16.5" customHeight="1" spans="1:7">
      <c r="A348" s="216" t="s">
        <v>430</v>
      </c>
      <c r="B348" s="254">
        <v>19</v>
      </c>
      <c r="C348" s="254">
        <v>14</v>
      </c>
      <c r="D348" s="37">
        <f>C348/B348</f>
        <v>0.736842105263158</v>
      </c>
      <c r="E348" s="37">
        <f t="shared" si="20"/>
        <v>-0.517241379310345</v>
      </c>
      <c r="F348" s="254"/>
      <c r="G348" s="255">
        <v>29</v>
      </c>
    </row>
    <row r="349" s="245" customFormat="1" ht="16.5" customHeight="1" spans="1:7">
      <c r="A349" s="216" t="s">
        <v>431</v>
      </c>
      <c r="B349" s="254"/>
      <c r="C349" s="254"/>
      <c r="D349" s="37"/>
      <c r="E349" s="37"/>
      <c r="F349" s="254"/>
      <c r="G349" s="263"/>
    </row>
    <row r="350" s="245" customFormat="1" ht="16.5" customHeight="1" spans="1:7">
      <c r="A350" s="216" t="s">
        <v>432</v>
      </c>
      <c r="B350" s="254">
        <v>-14</v>
      </c>
      <c r="C350" s="254">
        <v>-14</v>
      </c>
      <c r="D350" s="37">
        <f>C350/B350</f>
        <v>1</v>
      </c>
      <c r="E350" s="37"/>
      <c r="F350" s="254"/>
      <c r="G350" s="255"/>
    </row>
    <row r="351" s="245" customFormat="1" ht="16.5" customHeight="1" spans="1:7">
      <c r="A351" s="216" t="s">
        <v>433</v>
      </c>
      <c r="B351" s="254">
        <v>70</v>
      </c>
      <c r="C351" s="254">
        <v>70</v>
      </c>
      <c r="D351" s="37">
        <f>C351/B351</f>
        <v>1</v>
      </c>
      <c r="E351" s="37">
        <f t="shared" si="20"/>
        <v>2.5</v>
      </c>
      <c r="F351" s="254"/>
      <c r="G351" s="255">
        <v>20</v>
      </c>
    </row>
    <row r="352" s="245" customFormat="1" ht="16.5" customHeight="1" spans="1:7">
      <c r="A352" s="259" t="s">
        <v>434</v>
      </c>
      <c r="B352" s="254">
        <f>SUM(B353:B354)</f>
        <v>2156</v>
      </c>
      <c r="C352" s="254">
        <f>SUM(C353:C354)</f>
        <v>2156</v>
      </c>
      <c r="D352" s="37">
        <f>C352/B352</f>
        <v>1</v>
      </c>
      <c r="E352" s="37">
        <f t="shared" si="20"/>
        <v>5.30409356725146</v>
      </c>
      <c r="F352" s="254"/>
      <c r="G352" s="255">
        <f>SUM(G353:G354)</f>
        <v>342</v>
      </c>
    </row>
    <row r="353" s="245" customFormat="1" ht="16.5" customHeight="1" spans="1:7">
      <c r="A353" s="216" t="s">
        <v>435</v>
      </c>
      <c r="B353" s="254">
        <v>373</v>
      </c>
      <c r="C353" s="254">
        <v>373</v>
      </c>
      <c r="D353" s="37">
        <f>C353/B353</f>
        <v>1</v>
      </c>
      <c r="E353" s="37">
        <f t="shared" si="20"/>
        <v>0.0906432748538012</v>
      </c>
      <c r="F353" s="254"/>
      <c r="G353" s="255">
        <v>342</v>
      </c>
    </row>
    <row r="354" s="245" customFormat="1" ht="16.5" customHeight="1" spans="1:7">
      <c r="A354" s="216" t="s">
        <v>436</v>
      </c>
      <c r="B354" s="254">
        <v>1783</v>
      </c>
      <c r="C354" s="254">
        <v>1783</v>
      </c>
      <c r="D354" s="37">
        <f>C354/B354</f>
        <v>1</v>
      </c>
      <c r="E354" s="37"/>
      <c r="F354" s="254"/>
      <c r="G354" s="255"/>
    </row>
    <row r="355" s="245" customFormat="1" ht="16.5" customHeight="1" spans="1:7">
      <c r="A355" s="259" t="s">
        <v>437</v>
      </c>
      <c r="B355" s="254"/>
      <c r="C355" s="254"/>
      <c r="D355" s="37"/>
      <c r="E355" s="37"/>
      <c r="F355" s="254"/>
      <c r="G355" s="255"/>
    </row>
    <row r="356" s="245" customFormat="1" ht="16.5" customHeight="1" spans="1:7">
      <c r="A356" s="259" t="s">
        <v>438</v>
      </c>
      <c r="B356" s="254"/>
      <c r="C356" s="254"/>
      <c r="D356" s="37"/>
      <c r="E356" s="37"/>
      <c r="F356" s="254"/>
      <c r="G356" s="255"/>
    </row>
    <row r="357" s="245" customFormat="1" ht="16.5" customHeight="1" spans="1:7">
      <c r="A357" s="259" t="s">
        <v>439</v>
      </c>
      <c r="B357" s="254"/>
      <c r="C357" s="254"/>
      <c r="D357" s="37"/>
      <c r="E357" s="37"/>
      <c r="F357" s="254"/>
      <c r="G357" s="255"/>
    </row>
    <row r="358" s="245" customFormat="1" ht="16.5" customHeight="1" spans="1:7">
      <c r="A358" s="259" t="s">
        <v>440</v>
      </c>
      <c r="B358" s="254">
        <f>SUM(B359)</f>
        <v>327</v>
      </c>
      <c r="C358" s="254">
        <f>SUM(C359)</f>
        <v>250</v>
      </c>
      <c r="D358" s="37">
        <f>C358/B358</f>
        <v>0.764525993883792</v>
      </c>
      <c r="E358" s="37"/>
      <c r="F358" s="254"/>
      <c r="G358" s="255">
        <f>SUM(G359)</f>
        <v>-4</v>
      </c>
    </row>
    <row r="359" s="245" customFormat="1" ht="16.5" customHeight="1" spans="1:7">
      <c r="A359" s="216" t="s">
        <v>441</v>
      </c>
      <c r="B359" s="254">
        <v>327</v>
      </c>
      <c r="C359" s="254">
        <v>250</v>
      </c>
      <c r="D359" s="37">
        <f>C359/B359</f>
        <v>0.764525993883792</v>
      </c>
      <c r="E359" s="37"/>
      <c r="F359" s="254"/>
      <c r="G359" s="255">
        <v>-4</v>
      </c>
    </row>
    <row r="360" s="245" customFormat="1" ht="16.5" customHeight="1" spans="1:7">
      <c r="A360" s="259" t="s">
        <v>442</v>
      </c>
      <c r="B360" s="254">
        <f>SUM(B361:B362)</f>
        <v>-254</v>
      </c>
      <c r="C360" s="254">
        <f>SUM(C361:C362)</f>
        <v>-254</v>
      </c>
      <c r="D360" s="37">
        <f>C360/B360</f>
        <v>1</v>
      </c>
      <c r="E360" s="37">
        <f t="shared" si="20"/>
        <v>-2.69333333333333</v>
      </c>
      <c r="F360" s="254"/>
      <c r="G360" s="255">
        <f>SUM(G361:G362)</f>
        <v>150</v>
      </c>
    </row>
    <row r="361" s="245" customFormat="1" ht="16.5" customHeight="1" spans="1:7">
      <c r="A361" s="259" t="s">
        <v>443</v>
      </c>
      <c r="B361" s="254">
        <v>51</v>
      </c>
      <c r="C361" s="254">
        <v>51</v>
      </c>
      <c r="D361" s="37">
        <f>C361/B361</f>
        <v>1</v>
      </c>
      <c r="E361" s="37"/>
      <c r="F361" s="254"/>
      <c r="G361" s="258"/>
    </row>
    <row r="362" s="245" customFormat="1" ht="16.5" customHeight="1" spans="1:7">
      <c r="A362" s="216" t="s">
        <v>444</v>
      </c>
      <c r="B362" s="254">
        <v>-305</v>
      </c>
      <c r="C362" s="254">
        <v>-305</v>
      </c>
      <c r="D362" s="37">
        <f>C362/B362</f>
        <v>1</v>
      </c>
      <c r="E362" s="37">
        <f t="shared" si="20"/>
        <v>-3.03333333333333</v>
      </c>
      <c r="F362" s="254"/>
      <c r="G362" s="255">
        <v>150</v>
      </c>
    </row>
    <row r="363" s="245" customFormat="1" ht="16.5" customHeight="1" spans="1:7">
      <c r="A363" s="259" t="s">
        <v>445</v>
      </c>
      <c r="B363" s="254"/>
      <c r="C363" s="254"/>
      <c r="D363" s="37"/>
      <c r="E363" s="37"/>
      <c r="F363" s="254"/>
      <c r="G363" s="258"/>
    </row>
    <row r="364" s="245" customFormat="1" ht="16.5" customHeight="1" spans="1:7">
      <c r="A364" s="259" t="s">
        <v>446</v>
      </c>
      <c r="B364" s="254"/>
      <c r="C364" s="254"/>
      <c r="D364" s="37"/>
      <c r="E364" s="37"/>
      <c r="F364" s="254"/>
      <c r="G364" s="258"/>
    </row>
    <row r="365" s="245" customFormat="1" ht="16.5" customHeight="1" spans="1:7">
      <c r="A365" s="259" t="s">
        <v>447</v>
      </c>
      <c r="B365" s="254"/>
      <c r="C365" s="254"/>
      <c r="D365" s="37"/>
      <c r="E365" s="37"/>
      <c r="F365" s="254"/>
      <c r="G365" s="258"/>
    </row>
    <row r="366" s="245" customFormat="1" ht="16.5" customHeight="1" spans="1:7">
      <c r="A366" s="259" t="s">
        <v>448</v>
      </c>
      <c r="B366" s="254"/>
      <c r="C366" s="254"/>
      <c r="D366" s="37"/>
      <c r="E366" s="37"/>
      <c r="F366" s="254"/>
      <c r="G366" s="258"/>
    </row>
    <row r="367" s="245" customFormat="1" ht="16.5" customHeight="1" spans="1:7">
      <c r="A367" s="259" t="s">
        <v>449</v>
      </c>
      <c r="B367" s="254"/>
      <c r="C367" s="254"/>
      <c r="D367" s="37"/>
      <c r="E367" s="37"/>
      <c r="F367" s="254"/>
      <c r="G367" s="258"/>
    </row>
    <row r="368" s="245" customFormat="1" ht="16.5" customHeight="1" spans="1:7">
      <c r="A368" s="260" t="s">
        <v>72</v>
      </c>
      <c r="B368" s="254">
        <f>B369+B374+B376+B379+B381</f>
        <v>21350</v>
      </c>
      <c r="C368" s="254">
        <f>C369+C374+C376+C379+C381</f>
        <v>21293</v>
      </c>
      <c r="D368" s="37">
        <f>C368/B368</f>
        <v>0.997330210772834</v>
      </c>
      <c r="E368" s="37">
        <f t="shared" si="20"/>
        <v>0.165462506841817</v>
      </c>
      <c r="F368" s="254"/>
      <c r="G368" s="255">
        <f>G369+G374+G376+G379+G381</f>
        <v>18270</v>
      </c>
    </row>
    <row r="369" s="245" customFormat="1" ht="16.5" customHeight="1" spans="1:7">
      <c r="A369" s="259" t="s">
        <v>450</v>
      </c>
      <c r="B369" s="254">
        <f>SUM(B370:B373)</f>
        <v>4468</v>
      </c>
      <c r="C369" s="254">
        <f>SUM(C370:C373)</f>
        <v>4411</v>
      </c>
      <c r="D369" s="37">
        <f>C369/B369</f>
        <v>0.987242614145031</v>
      </c>
      <c r="E369" s="37">
        <f t="shared" si="20"/>
        <v>0.211813186813187</v>
      </c>
      <c r="F369" s="254"/>
      <c r="G369" s="255">
        <f>SUM(G370:G373)</f>
        <v>3640</v>
      </c>
    </row>
    <row r="370" s="245" customFormat="1" ht="16.5" customHeight="1" spans="1:7">
      <c r="A370" s="216" t="s">
        <v>451</v>
      </c>
      <c r="B370" s="254">
        <v>382</v>
      </c>
      <c r="C370" s="254">
        <v>382</v>
      </c>
      <c r="D370" s="37">
        <f>C370/B370</f>
        <v>1</v>
      </c>
      <c r="E370" s="37">
        <f t="shared" si="20"/>
        <v>0.534136546184739</v>
      </c>
      <c r="F370" s="254"/>
      <c r="G370" s="255">
        <v>249</v>
      </c>
    </row>
    <row r="371" s="245" customFormat="1" ht="16.5" customHeight="1" spans="1:7">
      <c r="A371" s="216" t="s">
        <v>452</v>
      </c>
      <c r="B371" s="254">
        <v>1640</v>
      </c>
      <c r="C371" s="254">
        <v>1640</v>
      </c>
      <c r="D371" s="37">
        <f>C371/B371</f>
        <v>1</v>
      </c>
      <c r="E371" s="37">
        <f t="shared" si="20"/>
        <v>0.0642439974042829</v>
      </c>
      <c r="F371" s="254"/>
      <c r="G371" s="255">
        <v>1541</v>
      </c>
    </row>
    <row r="372" s="245" customFormat="1" ht="16.5" customHeight="1" spans="1:7">
      <c r="A372" s="216" t="s">
        <v>453</v>
      </c>
      <c r="B372" s="254"/>
      <c r="C372" s="254"/>
      <c r="D372" s="37"/>
      <c r="E372" s="37"/>
      <c r="F372" s="254"/>
      <c r="G372" s="255"/>
    </row>
    <row r="373" s="245" customFormat="1" ht="16.5" customHeight="1" spans="1:7">
      <c r="A373" s="216" t="s">
        <v>454</v>
      </c>
      <c r="B373" s="254">
        <v>2446</v>
      </c>
      <c r="C373" s="254">
        <v>2389</v>
      </c>
      <c r="D373" s="37">
        <f t="shared" ref="D373:D382" si="21">C373/B373</f>
        <v>0.976696647587899</v>
      </c>
      <c r="E373" s="37">
        <f t="shared" si="20"/>
        <v>0.291351351351351</v>
      </c>
      <c r="F373" s="254"/>
      <c r="G373" s="255">
        <v>1850</v>
      </c>
    </row>
    <row r="374" s="245" customFormat="1" ht="16.5" customHeight="1" spans="1:7">
      <c r="A374" s="259" t="s">
        <v>455</v>
      </c>
      <c r="B374" s="254">
        <f>SUM(B375)</f>
        <v>245</v>
      </c>
      <c r="C374" s="254">
        <f>SUM(C375)</f>
        <v>245</v>
      </c>
      <c r="D374" s="37">
        <f t="shared" si="21"/>
        <v>1</v>
      </c>
      <c r="E374" s="37">
        <f t="shared" si="20"/>
        <v>-0.301994301994302</v>
      </c>
      <c r="F374" s="254"/>
      <c r="G374" s="255">
        <f>SUM(G375)</f>
        <v>351</v>
      </c>
    </row>
    <row r="375" s="245" customFormat="1" ht="16.5" customHeight="1" spans="1:7">
      <c r="A375" s="216" t="s">
        <v>456</v>
      </c>
      <c r="B375" s="254">
        <v>245</v>
      </c>
      <c r="C375" s="254">
        <v>245</v>
      </c>
      <c r="D375" s="37">
        <f t="shared" si="21"/>
        <v>1</v>
      </c>
      <c r="E375" s="37">
        <f t="shared" si="20"/>
        <v>-0.301994301994302</v>
      </c>
      <c r="F375" s="254"/>
      <c r="G375" s="255">
        <v>351</v>
      </c>
    </row>
    <row r="376" s="245" customFormat="1" ht="16.5" customHeight="1" spans="1:7">
      <c r="A376" s="259" t="s">
        <v>457</v>
      </c>
      <c r="B376" s="254">
        <f>SUM(B377:B378)</f>
        <v>9670</v>
      </c>
      <c r="C376" s="254">
        <f>SUM(C377:C378)</f>
        <v>9670</v>
      </c>
      <c r="D376" s="37">
        <f t="shared" si="21"/>
        <v>1</v>
      </c>
      <c r="E376" s="37">
        <f t="shared" si="20"/>
        <v>0.260591839395124</v>
      </c>
      <c r="F376" s="254"/>
      <c r="G376" s="255">
        <f>SUM(G377:G378)</f>
        <v>7671</v>
      </c>
    </row>
    <row r="377" s="245" customFormat="1" ht="16.5" customHeight="1" spans="1:7">
      <c r="A377" s="216" t="s">
        <v>458</v>
      </c>
      <c r="B377" s="254">
        <v>610</v>
      </c>
      <c r="C377" s="254">
        <v>610</v>
      </c>
      <c r="D377" s="37">
        <f t="shared" si="21"/>
        <v>1</v>
      </c>
      <c r="E377" s="37">
        <f t="shared" si="20"/>
        <v>-0.427230046948357</v>
      </c>
      <c r="F377" s="254"/>
      <c r="G377" s="255">
        <v>1065</v>
      </c>
    </row>
    <row r="378" s="245" customFormat="1" ht="16.5" customHeight="1" spans="1:7">
      <c r="A378" s="216" t="s">
        <v>459</v>
      </c>
      <c r="B378" s="254">
        <v>9060</v>
      </c>
      <c r="C378" s="254">
        <v>9060</v>
      </c>
      <c r="D378" s="37">
        <f t="shared" si="21"/>
        <v>1</v>
      </c>
      <c r="E378" s="37">
        <f t="shared" si="20"/>
        <v>0.371480472297911</v>
      </c>
      <c r="F378" s="254"/>
      <c r="G378" s="255">
        <v>6606</v>
      </c>
    </row>
    <row r="379" s="245" customFormat="1" ht="16.5" customHeight="1" spans="1:7">
      <c r="A379" s="259" t="s">
        <v>460</v>
      </c>
      <c r="B379" s="254">
        <f>SUM(B380)</f>
        <v>6687</v>
      </c>
      <c r="C379" s="254">
        <f>SUM(C380)</f>
        <v>6687</v>
      </c>
      <c r="D379" s="37">
        <f t="shared" si="21"/>
        <v>1</v>
      </c>
      <c r="E379" s="37">
        <f t="shared" si="20"/>
        <v>0.122733378106111</v>
      </c>
      <c r="F379" s="254"/>
      <c r="G379" s="255">
        <f>SUM(G380)</f>
        <v>5956</v>
      </c>
    </row>
    <row r="380" s="245" customFormat="1" ht="16.5" customHeight="1" spans="1:7">
      <c r="A380" s="216" t="s">
        <v>461</v>
      </c>
      <c r="B380" s="254">
        <v>6687</v>
      </c>
      <c r="C380" s="254">
        <v>6687</v>
      </c>
      <c r="D380" s="37">
        <f t="shared" si="21"/>
        <v>1</v>
      </c>
      <c r="E380" s="37">
        <f t="shared" si="20"/>
        <v>0.122733378106111</v>
      </c>
      <c r="F380" s="254"/>
      <c r="G380" s="255">
        <v>5956</v>
      </c>
    </row>
    <row r="381" s="245" customFormat="1" ht="16.5" customHeight="1" spans="1:7">
      <c r="A381" s="259" t="s">
        <v>462</v>
      </c>
      <c r="B381" s="254">
        <f>SUM(B382)</f>
        <v>280</v>
      </c>
      <c r="C381" s="254">
        <f>SUM(C382)</f>
        <v>280</v>
      </c>
      <c r="D381" s="37">
        <f t="shared" si="21"/>
        <v>1</v>
      </c>
      <c r="E381" s="37">
        <f t="shared" si="20"/>
        <v>-0.570552147239264</v>
      </c>
      <c r="F381" s="254"/>
      <c r="G381" s="255">
        <f>SUM(G382)</f>
        <v>652</v>
      </c>
    </row>
    <row r="382" s="245" customFormat="1" ht="16.5" customHeight="1" spans="1:7">
      <c r="A382" s="216" t="s">
        <v>463</v>
      </c>
      <c r="B382" s="254">
        <v>280</v>
      </c>
      <c r="C382" s="254">
        <v>280</v>
      </c>
      <c r="D382" s="37">
        <f t="shared" si="21"/>
        <v>1</v>
      </c>
      <c r="E382" s="37">
        <f t="shared" si="20"/>
        <v>-0.570552147239264</v>
      </c>
      <c r="F382" s="254"/>
      <c r="G382" s="255">
        <v>652</v>
      </c>
    </row>
    <row r="383" s="245" customFormat="1" ht="16.5" customHeight="1" spans="1:7">
      <c r="A383" s="259" t="s">
        <v>464</v>
      </c>
      <c r="B383" s="254"/>
      <c r="C383" s="254"/>
      <c r="D383" s="37"/>
      <c r="E383" s="37"/>
      <c r="F383" s="254"/>
      <c r="G383" s="255"/>
    </row>
    <row r="384" s="245" customFormat="1" ht="16.5" customHeight="1" spans="1:7">
      <c r="A384" s="260" t="s">
        <v>73</v>
      </c>
      <c r="B384" s="254">
        <f>B385+B398+B412+B426+B427+B432+B436+B441+B444+B445</f>
        <v>12313</v>
      </c>
      <c r="C384" s="254">
        <f>C385+C398+C412+C426+C427+C432+C436+C441+C444+C445</f>
        <v>11436</v>
      </c>
      <c r="D384" s="37">
        <f t="shared" ref="D384:D392" si="22">C384/B384</f>
        <v>0.928774466011533</v>
      </c>
      <c r="E384" s="37">
        <f t="shared" si="20"/>
        <v>-0.477545799259902</v>
      </c>
      <c r="F384" s="254"/>
      <c r="G384" s="255">
        <f>G385+G398+G412+G426+G427+G432+G436+G441+G444+G445</f>
        <v>21889</v>
      </c>
    </row>
    <row r="385" s="245" customFormat="1" ht="16.5" customHeight="1" spans="1:7">
      <c r="A385" s="259" t="s">
        <v>465</v>
      </c>
      <c r="B385" s="254">
        <f>SUM(B386:B397)</f>
        <v>5471</v>
      </c>
      <c r="C385" s="254">
        <f>SUM(C386:C397)</f>
        <v>5281</v>
      </c>
      <c r="D385" s="37">
        <f t="shared" si="22"/>
        <v>0.965271431182599</v>
      </c>
      <c r="E385" s="37">
        <f t="shared" si="20"/>
        <v>-0.153007217321572</v>
      </c>
      <c r="F385" s="254"/>
      <c r="G385" s="255">
        <f>SUM(G386:G397)</f>
        <v>6235</v>
      </c>
    </row>
    <row r="386" s="245" customFormat="1" ht="16.5" customHeight="1" spans="1:7">
      <c r="A386" s="216" t="s">
        <v>466</v>
      </c>
      <c r="B386" s="254">
        <v>183</v>
      </c>
      <c r="C386" s="254">
        <v>183</v>
      </c>
      <c r="D386" s="37">
        <f t="shared" si="22"/>
        <v>1</v>
      </c>
      <c r="E386" s="37">
        <f t="shared" si="20"/>
        <v>-0.124401913875598</v>
      </c>
      <c r="F386" s="254"/>
      <c r="G386" s="255">
        <v>209</v>
      </c>
    </row>
    <row r="387" s="245" customFormat="1" ht="16.5" customHeight="1" spans="1:7">
      <c r="A387" s="216" t="s">
        <v>467</v>
      </c>
      <c r="B387" s="254">
        <v>2972</v>
      </c>
      <c r="C387" s="254">
        <v>2972</v>
      </c>
      <c r="D387" s="37">
        <f t="shared" si="22"/>
        <v>1</v>
      </c>
      <c r="E387" s="37">
        <f t="shared" si="20"/>
        <v>-0.0606826801517067</v>
      </c>
      <c r="F387" s="254"/>
      <c r="G387" s="255">
        <v>3164</v>
      </c>
    </row>
    <row r="388" s="245" customFormat="1" ht="16.5" customHeight="1" spans="1:7">
      <c r="A388" s="216" t="s">
        <v>468</v>
      </c>
      <c r="B388" s="254">
        <v>185</v>
      </c>
      <c r="C388" s="254">
        <v>185</v>
      </c>
      <c r="D388" s="37">
        <f t="shared" si="22"/>
        <v>1</v>
      </c>
      <c r="E388" s="37">
        <f t="shared" si="20"/>
        <v>-0.110576923076923</v>
      </c>
      <c r="F388" s="254"/>
      <c r="G388" s="255">
        <v>208</v>
      </c>
    </row>
    <row r="389" s="245" customFormat="1" ht="16.5" customHeight="1" spans="1:7">
      <c r="A389" s="216" t="s">
        <v>469</v>
      </c>
      <c r="B389" s="254">
        <v>91</v>
      </c>
      <c r="C389" s="254">
        <v>91</v>
      </c>
      <c r="D389" s="37">
        <f t="shared" si="22"/>
        <v>1</v>
      </c>
      <c r="E389" s="37">
        <f t="shared" si="20"/>
        <v>0.936170212765957</v>
      </c>
      <c r="F389" s="254"/>
      <c r="G389" s="255">
        <v>47</v>
      </c>
    </row>
    <row r="390" s="245" customFormat="1" ht="16.5" customHeight="1" spans="1:7">
      <c r="A390" s="216" t="s">
        <v>470</v>
      </c>
      <c r="B390" s="254">
        <v>62</v>
      </c>
      <c r="C390" s="254">
        <v>62</v>
      </c>
      <c r="D390" s="37">
        <f t="shared" si="22"/>
        <v>1</v>
      </c>
      <c r="E390" s="37"/>
      <c r="F390" s="254"/>
      <c r="G390" s="255"/>
    </row>
    <row r="391" s="245" customFormat="1" ht="16.5" customHeight="1" spans="1:7">
      <c r="A391" s="216" t="s">
        <v>471</v>
      </c>
      <c r="B391" s="254">
        <v>68</v>
      </c>
      <c r="C391" s="254">
        <v>68</v>
      </c>
      <c r="D391" s="37">
        <f t="shared" si="22"/>
        <v>1</v>
      </c>
      <c r="E391" s="37">
        <f t="shared" si="20"/>
        <v>0.387755102040816</v>
      </c>
      <c r="F391" s="254"/>
      <c r="G391" s="255">
        <v>49</v>
      </c>
    </row>
    <row r="392" s="245" customFormat="1" ht="16.5" customHeight="1" spans="1:7">
      <c r="A392" s="216" t="s">
        <v>472</v>
      </c>
      <c r="B392" s="254">
        <v>507</v>
      </c>
      <c r="C392" s="254">
        <v>507</v>
      </c>
      <c r="D392" s="37">
        <f t="shared" si="22"/>
        <v>1</v>
      </c>
      <c r="E392" s="37">
        <f t="shared" si="20"/>
        <v>-0.49901185770751</v>
      </c>
      <c r="F392" s="254"/>
      <c r="G392" s="255">
        <v>1012</v>
      </c>
    </row>
    <row r="393" s="245" customFormat="1" ht="16.5" customHeight="1" spans="1:7">
      <c r="A393" s="216" t="s">
        <v>473</v>
      </c>
      <c r="B393" s="254"/>
      <c r="C393" s="254"/>
      <c r="D393" s="37"/>
      <c r="E393" s="37"/>
      <c r="F393" s="254"/>
      <c r="G393" s="255"/>
    </row>
    <row r="394" s="245" customFormat="1" ht="16.5" customHeight="1" spans="1:7">
      <c r="A394" s="216" t="s">
        <v>474</v>
      </c>
      <c r="B394" s="254">
        <v>610</v>
      </c>
      <c r="C394" s="254">
        <v>420</v>
      </c>
      <c r="D394" s="37">
        <f>C394/B394</f>
        <v>0.688524590163934</v>
      </c>
      <c r="E394" s="37">
        <f t="shared" si="20"/>
        <v>-0.601518026565465</v>
      </c>
      <c r="F394" s="254"/>
      <c r="G394" s="255">
        <v>1054</v>
      </c>
    </row>
    <row r="395" s="245" customFormat="1" ht="16.5" customHeight="1" spans="1:7">
      <c r="A395" s="216" t="s">
        <v>475</v>
      </c>
      <c r="B395" s="254">
        <v>58</v>
      </c>
      <c r="C395" s="254">
        <v>58</v>
      </c>
      <c r="D395" s="37">
        <f>C395/B395</f>
        <v>1</v>
      </c>
      <c r="E395" s="37"/>
      <c r="F395" s="254"/>
      <c r="G395" s="258"/>
    </row>
    <row r="396" s="245" customFormat="1" ht="16.5" customHeight="1" spans="1:7">
      <c r="A396" s="216" t="s">
        <v>476</v>
      </c>
      <c r="B396" s="254">
        <v>1</v>
      </c>
      <c r="C396" s="254">
        <v>1</v>
      </c>
      <c r="D396" s="37">
        <f t="shared" ref="D396:D407" si="23">C396/B396</f>
        <v>1</v>
      </c>
      <c r="E396" s="37">
        <f t="shared" si="20"/>
        <v>-0.99601593625498</v>
      </c>
      <c r="F396" s="254"/>
      <c r="G396" s="255">
        <v>251</v>
      </c>
    </row>
    <row r="397" s="245" customFormat="1" ht="16.5" customHeight="1" spans="1:7">
      <c r="A397" s="216" t="s">
        <v>477</v>
      </c>
      <c r="B397" s="254">
        <v>734</v>
      </c>
      <c r="C397" s="254">
        <v>734</v>
      </c>
      <c r="D397" s="37">
        <f t="shared" si="23"/>
        <v>1</v>
      </c>
      <c r="E397" s="37">
        <f t="shared" si="20"/>
        <v>2.04564315352697</v>
      </c>
      <c r="F397" s="254"/>
      <c r="G397" s="255">
        <v>241</v>
      </c>
    </row>
    <row r="398" s="245" customFormat="1" ht="16.5" customHeight="1" spans="1:7">
      <c r="A398" s="259" t="s">
        <v>478</v>
      </c>
      <c r="B398" s="254">
        <f>SUM(B399:B411)</f>
        <v>1051</v>
      </c>
      <c r="C398" s="254">
        <f>SUM(C399:C411)</f>
        <v>1051</v>
      </c>
      <c r="D398" s="37">
        <f t="shared" si="23"/>
        <v>1</v>
      </c>
      <c r="E398" s="37">
        <f t="shared" si="20"/>
        <v>-0.774560274560275</v>
      </c>
      <c r="F398" s="254"/>
      <c r="G398" s="255">
        <f>SUM(G399:G411)</f>
        <v>4662</v>
      </c>
    </row>
    <row r="399" s="245" customFormat="1" ht="16.5" customHeight="1" spans="1:7">
      <c r="A399" s="216" t="s">
        <v>479</v>
      </c>
      <c r="B399" s="254">
        <v>102</v>
      </c>
      <c r="C399" s="254">
        <v>102</v>
      </c>
      <c r="D399" s="37">
        <f t="shared" si="23"/>
        <v>1</v>
      </c>
      <c r="E399" s="37">
        <f t="shared" si="20"/>
        <v>-0.105263157894737</v>
      </c>
      <c r="F399" s="254"/>
      <c r="G399" s="255">
        <v>114</v>
      </c>
    </row>
    <row r="400" s="245" customFormat="1" ht="16.5" customHeight="1" spans="1:7">
      <c r="A400" s="216" t="s">
        <v>480</v>
      </c>
      <c r="B400" s="254">
        <v>955</v>
      </c>
      <c r="C400" s="254">
        <v>955</v>
      </c>
      <c r="D400" s="37">
        <f t="shared" si="23"/>
        <v>1</v>
      </c>
      <c r="E400" s="37">
        <f t="shared" si="20"/>
        <v>0.0989643268124281</v>
      </c>
      <c r="F400" s="254"/>
      <c r="G400" s="255">
        <v>869</v>
      </c>
    </row>
    <row r="401" s="245" customFormat="1" ht="16.5" customHeight="1" spans="1:7">
      <c r="A401" s="216" t="s">
        <v>481</v>
      </c>
      <c r="B401" s="254">
        <v>-231</v>
      </c>
      <c r="C401" s="254">
        <v>-231</v>
      </c>
      <c r="D401" s="37">
        <f t="shared" si="23"/>
        <v>1</v>
      </c>
      <c r="E401" s="37">
        <f t="shared" si="20"/>
        <v>-1.08533431843369</v>
      </c>
      <c r="F401" s="254"/>
      <c r="G401" s="255">
        <v>2707</v>
      </c>
    </row>
    <row r="402" s="245" customFormat="1" ht="16.5" customHeight="1" spans="1:7">
      <c r="A402" s="216" t="s">
        <v>482</v>
      </c>
      <c r="B402" s="254">
        <v>29</v>
      </c>
      <c r="C402" s="254">
        <v>29</v>
      </c>
      <c r="D402" s="37">
        <f t="shared" si="23"/>
        <v>1</v>
      </c>
      <c r="E402" s="37">
        <f t="shared" si="20"/>
        <v>-0.292682926829268</v>
      </c>
      <c r="F402" s="254"/>
      <c r="G402" s="255">
        <v>41</v>
      </c>
    </row>
    <row r="403" s="245" customFormat="1" ht="16.5" customHeight="1" spans="1:7">
      <c r="A403" s="216" t="s">
        <v>483</v>
      </c>
      <c r="B403" s="254">
        <v>71</v>
      </c>
      <c r="C403" s="254">
        <v>71</v>
      </c>
      <c r="D403" s="37">
        <f t="shared" si="23"/>
        <v>1</v>
      </c>
      <c r="E403" s="37">
        <f t="shared" si="20"/>
        <v>-0.134146341463415</v>
      </c>
      <c r="F403" s="254"/>
      <c r="G403" s="255">
        <v>82</v>
      </c>
    </row>
    <row r="404" s="245" customFormat="1" ht="16.5" customHeight="1" spans="1:7">
      <c r="A404" s="216" t="s">
        <v>484</v>
      </c>
      <c r="B404" s="254">
        <v>-158</v>
      </c>
      <c r="C404" s="254">
        <v>-158</v>
      </c>
      <c r="D404" s="37">
        <f t="shared" si="23"/>
        <v>1</v>
      </c>
      <c r="E404" s="37">
        <f t="shared" si="20"/>
        <v>-1.316</v>
      </c>
      <c r="F404" s="254"/>
      <c r="G404" s="255">
        <v>500</v>
      </c>
    </row>
    <row r="405" s="245" customFormat="1" ht="16.5" customHeight="1" spans="1:7">
      <c r="A405" s="216" t="s">
        <v>485</v>
      </c>
      <c r="B405" s="254">
        <v>1</v>
      </c>
      <c r="C405" s="254">
        <v>1</v>
      </c>
      <c r="D405" s="37">
        <f t="shared" si="23"/>
        <v>1</v>
      </c>
      <c r="E405" s="37"/>
      <c r="F405" s="254"/>
      <c r="G405" s="255"/>
    </row>
    <row r="406" s="245" customFormat="1" ht="16.5" customHeight="1" spans="1:7">
      <c r="A406" s="216" t="s">
        <v>486</v>
      </c>
      <c r="B406" s="254">
        <v>-6</v>
      </c>
      <c r="C406" s="254">
        <v>-6</v>
      </c>
      <c r="D406" s="37">
        <f t="shared" si="23"/>
        <v>1</v>
      </c>
      <c r="E406" s="37"/>
      <c r="F406" s="254"/>
      <c r="G406" s="255"/>
    </row>
    <row r="407" s="245" customFormat="1" ht="16.5" customHeight="1" spans="1:7">
      <c r="A407" s="216" t="s">
        <v>487</v>
      </c>
      <c r="B407" s="254">
        <v>3</v>
      </c>
      <c r="C407" s="254">
        <v>3</v>
      </c>
      <c r="D407" s="37">
        <f t="shared" si="23"/>
        <v>1</v>
      </c>
      <c r="E407" s="37"/>
      <c r="F407" s="254"/>
      <c r="G407" s="255">
        <v>2</v>
      </c>
    </row>
    <row r="408" s="245" customFormat="1" ht="16.5" customHeight="1" spans="1:7">
      <c r="A408" s="216" t="s">
        <v>488</v>
      </c>
      <c r="B408" s="254"/>
      <c r="C408" s="254"/>
      <c r="D408" s="37"/>
      <c r="E408" s="37"/>
      <c r="F408" s="254"/>
      <c r="G408" s="255"/>
    </row>
    <row r="409" s="245" customFormat="1" ht="16.5" customHeight="1" spans="1:7">
      <c r="A409" s="216" t="s">
        <v>489</v>
      </c>
      <c r="B409" s="254"/>
      <c r="C409" s="254"/>
      <c r="D409" s="37"/>
      <c r="E409" s="37"/>
      <c r="F409" s="254"/>
      <c r="G409" s="255"/>
    </row>
    <row r="410" s="245" customFormat="1" ht="16.5" customHeight="1" spans="1:7">
      <c r="A410" s="216" t="s">
        <v>490</v>
      </c>
      <c r="B410" s="254">
        <v>13</v>
      </c>
      <c r="C410" s="254">
        <v>13</v>
      </c>
      <c r="D410" s="37">
        <f t="shared" ref="D410:D423" si="24">C410/B410</f>
        <v>1</v>
      </c>
      <c r="E410" s="37"/>
      <c r="F410" s="254"/>
      <c r="G410" s="255">
        <v>20</v>
      </c>
    </row>
    <row r="411" s="245" customFormat="1" ht="16.5" customHeight="1" spans="1:7">
      <c r="A411" s="216" t="s">
        <v>491</v>
      </c>
      <c r="B411" s="254">
        <v>272</v>
      </c>
      <c r="C411" s="254">
        <v>272</v>
      </c>
      <c r="D411" s="37">
        <f t="shared" si="24"/>
        <v>1</v>
      </c>
      <c r="E411" s="37">
        <f t="shared" ref="E411:E466" si="25">(C411-G411)/G411</f>
        <v>-0.168195718654434</v>
      </c>
      <c r="F411" s="254"/>
      <c r="G411" s="255">
        <v>327</v>
      </c>
    </row>
    <row r="412" s="245" customFormat="1" ht="16.5" customHeight="1" spans="1:7">
      <c r="A412" s="259" t="s">
        <v>492</v>
      </c>
      <c r="B412" s="254">
        <f>SUM(B413:B425)</f>
        <v>413</v>
      </c>
      <c r="C412" s="254">
        <f>SUM(C413:C425)</f>
        <v>223</v>
      </c>
      <c r="D412" s="37">
        <f t="shared" si="24"/>
        <v>0.539951573849879</v>
      </c>
      <c r="E412" s="37">
        <f t="shared" si="25"/>
        <v>-0.917499075101739</v>
      </c>
      <c r="F412" s="254"/>
      <c r="G412" s="255">
        <f>SUM(G413:G425)</f>
        <v>2703</v>
      </c>
    </row>
    <row r="413" s="245" customFormat="1" ht="16.5" customHeight="1" spans="1:7">
      <c r="A413" s="216" t="s">
        <v>493</v>
      </c>
      <c r="B413" s="254">
        <v>85</v>
      </c>
      <c r="C413" s="254">
        <v>85</v>
      </c>
      <c r="D413" s="37">
        <f t="shared" si="24"/>
        <v>1</v>
      </c>
      <c r="E413" s="37">
        <f t="shared" si="25"/>
        <v>-0.19811320754717</v>
      </c>
      <c r="F413" s="254"/>
      <c r="G413" s="255">
        <v>106</v>
      </c>
    </row>
    <row r="414" s="245" customFormat="1" ht="16.5" customHeight="1" spans="1:7">
      <c r="A414" s="216" t="s">
        <v>494</v>
      </c>
      <c r="B414" s="254">
        <v>-167</v>
      </c>
      <c r="C414" s="254">
        <v>-167</v>
      </c>
      <c r="D414" s="37">
        <f t="shared" si="24"/>
        <v>1</v>
      </c>
      <c r="E414" s="37">
        <f t="shared" si="25"/>
        <v>-1.24063400576369</v>
      </c>
      <c r="F414" s="254"/>
      <c r="G414" s="255">
        <v>694</v>
      </c>
    </row>
    <row r="415" s="245" customFormat="1" ht="16.5" customHeight="1" spans="1:7">
      <c r="A415" s="216" t="s">
        <v>495</v>
      </c>
      <c r="B415" s="254">
        <v>33</v>
      </c>
      <c r="C415" s="254">
        <v>33</v>
      </c>
      <c r="D415" s="37">
        <f t="shared" si="24"/>
        <v>1</v>
      </c>
      <c r="E415" s="37"/>
      <c r="F415" s="254"/>
      <c r="G415" s="255"/>
    </row>
    <row r="416" s="245" customFormat="1" ht="16.5" customHeight="1" spans="1:7">
      <c r="A416" s="216" t="s">
        <v>496</v>
      </c>
      <c r="B416" s="254">
        <v>-91</v>
      </c>
      <c r="C416" s="254">
        <v>-91</v>
      </c>
      <c r="D416" s="37">
        <f t="shared" si="24"/>
        <v>1</v>
      </c>
      <c r="E416" s="37">
        <f>-(C416-G416)/G416</f>
        <v>-1.275</v>
      </c>
      <c r="F416" s="254"/>
      <c r="G416" s="255">
        <v>-40</v>
      </c>
    </row>
    <row r="417" s="245" customFormat="1" ht="16.5" customHeight="1" spans="1:7">
      <c r="A417" s="216" t="s">
        <v>497</v>
      </c>
      <c r="B417" s="254">
        <v>109</v>
      </c>
      <c r="C417" s="254">
        <v>109</v>
      </c>
      <c r="D417" s="37">
        <f t="shared" si="24"/>
        <v>1</v>
      </c>
      <c r="E417" s="37">
        <f t="shared" si="25"/>
        <v>0.557142857142857</v>
      </c>
      <c r="F417" s="254"/>
      <c r="G417" s="255">
        <v>70</v>
      </c>
    </row>
    <row r="418" s="245" customFormat="1" ht="16.5" customHeight="1" spans="1:7">
      <c r="A418" s="216" t="s">
        <v>498</v>
      </c>
      <c r="B418" s="254">
        <v>-13</v>
      </c>
      <c r="C418" s="254">
        <v>-13</v>
      </c>
      <c r="D418" s="37">
        <f t="shared" si="24"/>
        <v>1</v>
      </c>
      <c r="E418" s="37">
        <f t="shared" si="25"/>
        <v>-1.72222222222222</v>
      </c>
      <c r="F418" s="254"/>
      <c r="G418" s="255">
        <v>18</v>
      </c>
    </row>
    <row r="419" s="245" customFormat="1" ht="16.5" customHeight="1" spans="1:7">
      <c r="A419" s="216" t="s">
        <v>499</v>
      </c>
      <c r="B419" s="254">
        <v>1</v>
      </c>
      <c r="C419" s="254">
        <v>1</v>
      </c>
      <c r="D419" s="37">
        <f t="shared" si="24"/>
        <v>1</v>
      </c>
      <c r="E419" s="37">
        <f t="shared" si="25"/>
        <v>-0.971428571428571</v>
      </c>
      <c r="F419" s="254"/>
      <c r="G419" s="255">
        <v>35</v>
      </c>
    </row>
    <row r="420" s="245" customFormat="1" ht="16.5" customHeight="1" spans="1:7">
      <c r="A420" s="216" t="s">
        <v>500</v>
      </c>
      <c r="B420" s="254">
        <v>-105</v>
      </c>
      <c r="C420" s="254">
        <v>-105</v>
      </c>
      <c r="D420" s="37">
        <f t="shared" si="24"/>
        <v>1</v>
      </c>
      <c r="E420" s="37">
        <f t="shared" si="25"/>
        <v>-2.22093023255814</v>
      </c>
      <c r="F420" s="254"/>
      <c r="G420" s="255">
        <v>86</v>
      </c>
    </row>
    <row r="421" s="245" customFormat="1" ht="16.5" customHeight="1" spans="1:7">
      <c r="A421" s="216" t="s">
        <v>501</v>
      </c>
      <c r="B421" s="254">
        <v>902</v>
      </c>
      <c r="C421" s="254">
        <v>902</v>
      </c>
      <c r="D421" s="37">
        <f t="shared" si="24"/>
        <v>1</v>
      </c>
      <c r="E421" s="37">
        <f t="shared" si="25"/>
        <v>0.0320366132723112</v>
      </c>
      <c r="F421" s="254"/>
      <c r="G421" s="255">
        <v>874</v>
      </c>
    </row>
    <row r="422" s="245" customFormat="1" ht="16.5" customHeight="1" spans="1:7">
      <c r="A422" s="216" t="s">
        <v>502</v>
      </c>
      <c r="B422" s="254">
        <v>3</v>
      </c>
      <c r="C422" s="254"/>
      <c r="D422" s="37">
        <f t="shared" si="24"/>
        <v>0</v>
      </c>
      <c r="E422" s="37">
        <f t="shared" si="25"/>
        <v>-1</v>
      </c>
      <c r="F422" s="254"/>
      <c r="G422" s="255">
        <v>50</v>
      </c>
    </row>
    <row r="423" s="245" customFormat="1" ht="16.5" customHeight="1" spans="1:7">
      <c r="A423" s="216" t="s">
        <v>503</v>
      </c>
      <c r="B423" s="254">
        <v>12</v>
      </c>
      <c r="C423" s="254">
        <v>12</v>
      </c>
      <c r="D423" s="37">
        <f t="shared" si="24"/>
        <v>1</v>
      </c>
      <c r="E423" s="37">
        <f t="shared" si="25"/>
        <v>5</v>
      </c>
      <c r="F423" s="254"/>
      <c r="G423" s="255">
        <v>2</v>
      </c>
    </row>
    <row r="424" s="245" customFormat="1" ht="16.5" customHeight="1" spans="1:7">
      <c r="A424" s="216" t="s">
        <v>504</v>
      </c>
      <c r="B424" s="254"/>
      <c r="C424" s="254"/>
      <c r="D424" s="37"/>
      <c r="E424" s="37"/>
      <c r="F424" s="254"/>
      <c r="G424" s="255">
        <v>-10</v>
      </c>
    </row>
    <row r="425" s="245" customFormat="1" ht="16.5" customHeight="1" spans="1:7">
      <c r="A425" s="216" t="s">
        <v>505</v>
      </c>
      <c r="B425" s="254">
        <v>-356</v>
      </c>
      <c r="C425" s="254">
        <v>-543</v>
      </c>
      <c r="D425" s="37"/>
      <c r="E425" s="37">
        <f t="shared" si="25"/>
        <v>-1.6638141809291</v>
      </c>
      <c r="F425" s="254"/>
      <c r="G425" s="255">
        <v>818</v>
      </c>
    </row>
    <row r="426" s="245" customFormat="1" ht="16.5" customHeight="1" spans="1:7">
      <c r="A426" s="259" t="s">
        <v>506</v>
      </c>
      <c r="B426" s="254"/>
      <c r="C426" s="254"/>
      <c r="D426" s="37"/>
      <c r="E426" s="37"/>
      <c r="F426" s="254"/>
      <c r="G426" s="258"/>
    </row>
    <row r="427" s="245" customFormat="1" ht="16.5" customHeight="1" spans="1:7">
      <c r="A427" s="259" t="s">
        <v>507</v>
      </c>
      <c r="B427" s="254">
        <f>SUM(B428:B431)</f>
        <v>1906</v>
      </c>
      <c r="C427" s="254">
        <f>SUM(C428:C431)</f>
        <v>1906</v>
      </c>
      <c r="D427" s="37">
        <f>C427/B427</f>
        <v>1</v>
      </c>
      <c r="E427" s="37">
        <f t="shared" si="25"/>
        <v>3.16157205240175</v>
      </c>
      <c r="F427" s="254"/>
      <c r="G427" s="255">
        <f>SUM(G428:G431)</f>
        <v>458</v>
      </c>
    </row>
    <row r="428" s="245" customFormat="1" ht="16.5" customHeight="1" spans="1:7">
      <c r="A428" s="216" t="s">
        <v>508</v>
      </c>
      <c r="B428" s="254">
        <v>100</v>
      </c>
      <c r="C428" s="254">
        <v>100</v>
      </c>
      <c r="D428" s="37">
        <f>C428/B428</f>
        <v>1</v>
      </c>
      <c r="E428" s="37">
        <f t="shared" si="25"/>
        <v>-0.46524064171123</v>
      </c>
      <c r="F428" s="254"/>
      <c r="G428" s="255">
        <v>187</v>
      </c>
    </row>
    <row r="429" s="245" customFormat="1" ht="16.5" customHeight="1" spans="1:7">
      <c r="A429" s="216" t="s">
        <v>509</v>
      </c>
      <c r="B429" s="254">
        <v>100</v>
      </c>
      <c r="C429" s="254">
        <v>100</v>
      </c>
      <c r="D429" s="37"/>
      <c r="E429" s="37"/>
      <c r="F429" s="254"/>
      <c r="G429" s="255"/>
    </row>
    <row r="430" s="245" customFormat="1" ht="16.5" customHeight="1" spans="1:7">
      <c r="A430" s="216" t="s">
        <v>510</v>
      </c>
      <c r="B430" s="254"/>
      <c r="C430" s="254"/>
      <c r="D430" s="37"/>
      <c r="E430" s="37"/>
      <c r="F430" s="254"/>
      <c r="G430" s="255"/>
    </row>
    <row r="431" s="245" customFormat="1" ht="16.5" customHeight="1" spans="1:7">
      <c r="A431" s="216" t="s">
        <v>511</v>
      </c>
      <c r="B431" s="254">
        <v>1706</v>
      </c>
      <c r="C431" s="254">
        <v>1706</v>
      </c>
      <c r="D431" s="37">
        <f t="shared" ref="D431:D443" si="26">C431/B431</f>
        <v>1</v>
      </c>
      <c r="E431" s="37">
        <f t="shared" si="25"/>
        <v>5.29520295202952</v>
      </c>
      <c r="F431" s="254"/>
      <c r="G431" s="255">
        <v>271</v>
      </c>
    </row>
    <row r="432" s="245" customFormat="1" ht="16.5" customHeight="1" spans="1:7">
      <c r="A432" s="259" t="s">
        <v>512</v>
      </c>
      <c r="B432" s="254">
        <f>SUM(B433:B435)</f>
        <v>-411</v>
      </c>
      <c r="C432" s="254">
        <f>SUM(C433:C435)</f>
        <v>-425</v>
      </c>
      <c r="D432" s="37"/>
      <c r="E432" s="37">
        <f t="shared" si="25"/>
        <v>-1.43016194331984</v>
      </c>
      <c r="F432" s="254"/>
      <c r="G432" s="255">
        <f>SUM(G433:G435)</f>
        <v>988</v>
      </c>
    </row>
    <row r="433" s="245" customFormat="1" ht="16.5" customHeight="1" spans="1:7">
      <c r="A433" s="216" t="s">
        <v>513</v>
      </c>
      <c r="B433" s="254">
        <v>80</v>
      </c>
      <c r="C433" s="254">
        <v>70</v>
      </c>
      <c r="D433" s="37">
        <f t="shared" si="26"/>
        <v>0.875</v>
      </c>
      <c r="E433" s="37">
        <f t="shared" si="25"/>
        <v>-0.92964824120603</v>
      </c>
      <c r="F433" s="254"/>
      <c r="G433" s="255">
        <v>995</v>
      </c>
    </row>
    <row r="434" s="245" customFormat="1" ht="16.5" customHeight="1" spans="1:7">
      <c r="A434" s="216" t="s">
        <v>514</v>
      </c>
      <c r="B434" s="254">
        <v>-473</v>
      </c>
      <c r="C434" s="254">
        <v>-477</v>
      </c>
      <c r="D434" s="37"/>
      <c r="E434" s="37">
        <f t="shared" si="25"/>
        <v>-44.3636363636364</v>
      </c>
      <c r="F434" s="254"/>
      <c r="G434" s="255">
        <v>11</v>
      </c>
    </row>
    <row r="435" s="245" customFormat="1" ht="16.5" customHeight="1" spans="1:7">
      <c r="A435" s="216" t="s">
        <v>515</v>
      </c>
      <c r="B435" s="254">
        <v>-18</v>
      </c>
      <c r="C435" s="254">
        <v>-18</v>
      </c>
      <c r="D435" s="37">
        <f t="shared" si="26"/>
        <v>1</v>
      </c>
      <c r="E435" s="37">
        <f t="shared" si="25"/>
        <v>0</v>
      </c>
      <c r="F435" s="254"/>
      <c r="G435" s="255">
        <v>-18</v>
      </c>
    </row>
    <row r="436" s="245" customFormat="1" ht="16.5" customHeight="1" spans="1:7">
      <c r="A436" s="259" t="s">
        <v>516</v>
      </c>
      <c r="B436" s="254">
        <f>SUM(B437:B440)</f>
        <v>3638</v>
      </c>
      <c r="C436" s="254">
        <f>SUM(C437:C440)</f>
        <v>3435</v>
      </c>
      <c r="D436" s="37">
        <f t="shared" si="26"/>
        <v>0.944200109950522</v>
      </c>
      <c r="E436" s="37">
        <f t="shared" si="25"/>
        <v>-0.324217981506984</v>
      </c>
      <c r="F436" s="254"/>
      <c r="G436" s="255">
        <f>SUM(G437:G440)</f>
        <v>5083</v>
      </c>
    </row>
    <row r="437" s="245" customFormat="1" ht="16.5" customHeight="1" spans="1:7">
      <c r="A437" s="216" t="s">
        <v>517</v>
      </c>
      <c r="B437" s="254">
        <v>2364</v>
      </c>
      <c r="C437" s="254">
        <v>2364</v>
      </c>
      <c r="D437" s="37">
        <f t="shared" si="26"/>
        <v>1</v>
      </c>
      <c r="E437" s="37">
        <f t="shared" si="25"/>
        <v>0.467411545623836</v>
      </c>
      <c r="F437" s="254"/>
      <c r="G437" s="255">
        <v>1611</v>
      </c>
    </row>
    <row r="438" s="245" customFormat="1" ht="16.5" customHeight="1" spans="1:7">
      <c r="A438" s="216" t="s">
        <v>518</v>
      </c>
      <c r="B438" s="254">
        <v>2466</v>
      </c>
      <c r="C438" s="254">
        <v>2263</v>
      </c>
      <c r="D438" s="37">
        <f t="shared" si="26"/>
        <v>0.917680454176805</v>
      </c>
      <c r="E438" s="37">
        <f t="shared" si="25"/>
        <v>0.118083003952569</v>
      </c>
      <c r="F438" s="254"/>
      <c r="G438" s="255">
        <v>2024</v>
      </c>
    </row>
    <row r="439" s="245" customFormat="1" ht="16.5" customHeight="1" spans="1:7">
      <c r="A439" s="216" t="s">
        <v>519</v>
      </c>
      <c r="B439" s="254">
        <v>-1192</v>
      </c>
      <c r="C439" s="254">
        <v>-1192</v>
      </c>
      <c r="D439" s="37">
        <f t="shared" si="26"/>
        <v>1</v>
      </c>
      <c r="E439" s="37">
        <f t="shared" si="25"/>
        <v>-2.192</v>
      </c>
      <c r="F439" s="254"/>
      <c r="G439" s="255">
        <v>1000</v>
      </c>
    </row>
    <row r="440" s="245" customFormat="1" ht="16.5" customHeight="1" spans="1:7">
      <c r="A440" s="216" t="s">
        <v>520</v>
      </c>
      <c r="B440" s="254"/>
      <c r="C440" s="254"/>
      <c r="D440" s="37"/>
      <c r="E440" s="37"/>
      <c r="F440" s="254"/>
      <c r="G440" s="255">
        <v>448</v>
      </c>
    </row>
    <row r="441" s="245" customFormat="1" ht="16.5" customHeight="1" spans="1:7">
      <c r="A441" s="259" t="s">
        <v>521</v>
      </c>
      <c r="B441" s="254">
        <f>SUM(B442:B443)</f>
        <v>-35</v>
      </c>
      <c r="C441" s="254">
        <f>SUM(C442:C443)</f>
        <v>-35</v>
      </c>
      <c r="D441" s="37">
        <f t="shared" si="26"/>
        <v>1</v>
      </c>
      <c r="E441" s="37">
        <f t="shared" si="25"/>
        <v>-1.08009153318078</v>
      </c>
      <c r="F441" s="254"/>
      <c r="G441" s="255">
        <f>SUM(G442:G443)</f>
        <v>437</v>
      </c>
    </row>
    <row r="442" s="245" customFormat="1" ht="16.5" customHeight="1" spans="1:7">
      <c r="A442" s="216" t="s">
        <v>522</v>
      </c>
      <c r="B442" s="254">
        <v>-242</v>
      </c>
      <c r="C442" s="254">
        <v>-242</v>
      </c>
      <c r="D442" s="37">
        <f t="shared" si="26"/>
        <v>1</v>
      </c>
      <c r="E442" s="37">
        <f t="shared" si="25"/>
        <v>-2.18627450980392</v>
      </c>
      <c r="F442" s="254"/>
      <c r="G442" s="255">
        <v>204</v>
      </c>
    </row>
    <row r="443" s="245" customFormat="1" ht="16.5" customHeight="1" spans="1:7">
      <c r="A443" s="216" t="s">
        <v>523</v>
      </c>
      <c r="B443" s="254">
        <v>207</v>
      </c>
      <c r="C443" s="254">
        <v>207</v>
      </c>
      <c r="D443" s="37">
        <f t="shared" si="26"/>
        <v>1</v>
      </c>
      <c r="E443" s="37"/>
      <c r="F443" s="254"/>
      <c r="G443" s="255">
        <v>233</v>
      </c>
    </row>
    <row r="444" s="245" customFormat="1" ht="16.5" customHeight="1" spans="1:7">
      <c r="A444" s="259" t="s">
        <v>524</v>
      </c>
      <c r="B444" s="254"/>
      <c r="C444" s="254"/>
      <c r="D444" s="37"/>
      <c r="E444" s="37"/>
      <c r="F444" s="254"/>
      <c r="G444" s="255"/>
    </row>
    <row r="445" s="245" customFormat="1" ht="16.5" customHeight="1" spans="1:7">
      <c r="A445" s="259" t="s">
        <v>525</v>
      </c>
      <c r="B445" s="254">
        <v>280</v>
      </c>
      <c r="C445" s="254"/>
      <c r="D445" s="37">
        <f t="shared" ref="D445:D451" si="27">C445/B445</f>
        <v>0</v>
      </c>
      <c r="E445" s="37">
        <f t="shared" si="25"/>
        <v>-1</v>
      </c>
      <c r="F445" s="254"/>
      <c r="G445" s="255">
        <v>1323</v>
      </c>
    </row>
    <row r="446" s="245" customFormat="1" ht="16.5" customHeight="1" spans="1:7">
      <c r="A446" s="216" t="s">
        <v>526</v>
      </c>
      <c r="B446" s="254">
        <v>280</v>
      </c>
      <c r="C446" s="254"/>
      <c r="D446" s="37">
        <f t="shared" si="27"/>
        <v>0</v>
      </c>
      <c r="E446" s="37">
        <f t="shared" si="25"/>
        <v>-1</v>
      </c>
      <c r="F446" s="254"/>
      <c r="G446" s="255">
        <v>1051</v>
      </c>
    </row>
    <row r="447" s="245" customFormat="1" ht="16.5" customHeight="1" spans="1:7">
      <c r="A447" s="216" t="s">
        <v>527</v>
      </c>
      <c r="B447" s="254"/>
      <c r="C447" s="254"/>
      <c r="D447" s="37"/>
      <c r="E447" s="37"/>
      <c r="F447" s="254"/>
      <c r="G447" s="255">
        <v>272</v>
      </c>
    </row>
    <row r="448" s="245" customFormat="1" ht="16.5" customHeight="1" spans="1:7">
      <c r="A448" s="253" t="s">
        <v>74</v>
      </c>
      <c r="B448" s="254">
        <f>B449+B455+B456+B457+B461+B463+B465</f>
        <v>4063</v>
      </c>
      <c r="C448" s="254">
        <f>C449+C455+C456+C457+C461+C463+C465</f>
        <v>4063</v>
      </c>
      <c r="D448" s="37">
        <f t="shared" si="27"/>
        <v>1</v>
      </c>
      <c r="E448" s="37">
        <f t="shared" si="25"/>
        <v>0.0213675213675214</v>
      </c>
      <c r="F448" s="254"/>
      <c r="G448" s="255">
        <f>G449+G455+G456+G457+G461+G463+G465</f>
        <v>3978</v>
      </c>
    </row>
    <row r="449" s="245" customFormat="1" ht="16.5" customHeight="1" spans="1:7">
      <c r="A449" s="259" t="s">
        <v>528</v>
      </c>
      <c r="B449" s="254">
        <f>SUM(B450:B454)</f>
        <v>2754</v>
      </c>
      <c r="C449" s="254">
        <f>SUM(C450:C454)</f>
        <v>2754</v>
      </c>
      <c r="D449" s="37">
        <f t="shared" si="27"/>
        <v>1</v>
      </c>
      <c r="E449" s="37">
        <f t="shared" si="25"/>
        <v>-0.0776959142665774</v>
      </c>
      <c r="F449" s="254"/>
      <c r="G449" s="255">
        <f>SUM(G450:G454)</f>
        <v>2986</v>
      </c>
    </row>
    <row r="450" s="245" customFormat="1" ht="16.5" customHeight="1" spans="1:7">
      <c r="A450" s="216" t="s">
        <v>529</v>
      </c>
      <c r="B450" s="254">
        <v>265</v>
      </c>
      <c r="C450" s="254">
        <v>265</v>
      </c>
      <c r="D450" s="37">
        <f t="shared" si="27"/>
        <v>1</v>
      </c>
      <c r="E450" s="37">
        <f t="shared" si="25"/>
        <v>0.778523489932886</v>
      </c>
      <c r="F450" s="254"/>
      <c r="G450" s="255">
        <v>149</v>
      </c>
    </row>
    <row r="451" s="245" customFormat="1" ht="16.5" customHeight="1" spans="1:7">
      <c r="A451" s="216" t="s">
        <v>530</v>
      </c>
      <c r="B451" s="254">
        <v>31</v>
      </c>
      <c r="C451" s="254">
        <v>31</v>
      </c>
      <c r="D451" s="37">
        <f t="shared" si="27"/>
        <v>1</v>
      </c>
      <c r="E451" s="37">
        <f t="shared" si="25"/>
        <v>-0.864628820960699</v>
      </c>
      <c r="F451" s="254"/>
      <c r="G451" s="255">
        <v>229</v>
      </c>
    </row>
    <row r="452" s="245" customFormat="1" ht="16.5" customHeight="1" spans="1:7">
      <c r="A452" s="216" t="s">
        <v>531</v>
      </c>
      <c r="B452" s="254"/>
      <c r="C452" s="254"/>
      <c r="D452" s="37"/>
      <c r="E452" s="37"/>
      <c r="F452" s="254"/>
      <c r="G452" s="255"/>
    </row>
    <row r="453" s="245" customFormat="1" ht="16.5" customHeight="1" spans="1:7">
      <c r="A453" s="216" t="s">
        <v>532</v>
      </c>
      <c r="B453" s="254">
        <v>607</v>
      </c>
      <c r="C453" s="254">
        <v>607</v>
      </c>
      <c r="D453" s="37">
        <f>C453/B453</f>
        <v>1</v>
      </c>
      <c r="E453" s="37">
        <f t="shared" si="25"/>
        <v>0.342920353982301</v>
      </c>
      <c r="F453" s="254"/>
      <c r="G453" s="255">
        <v>452</v>
      </c>
    </row>
    <row r="454" s="245" customFormat="1" ht="16.5" customHeight="1" spans="1:7">
      <c r="A454" s="216" t="s">
        <v>533</v>
      </c>
      <c r="B454" s="254">
        <v>1851</v>
      </c>
      <c r="C454" s="254">
        <v>1851</v>
      </c>
      <c r="D454" s="37">
        <f>C454/B454</f>
        <v>1</v>
      </c>
      <c r="E454" s="37">
        <f t="shared" si="25"/>
        <v>-0.141465677179963</v>
      </c>
      <c r="F454" s="254"/>
      <c r="G454" s="255">
        <v>2156</v>
      </c>
    </row>
    <row r="455" s="245" customFormat="1" ht="16.5" customHeight="1" spans="1:7">
      <c r="A455" s="259" t="s">
        <v>534</v>
      </c>
      <c r="B455" s="254"/>
      <c r="C455" s="254"/>
      <c r="D455" s="37"/>
      <c r="E455" s="37"/>
      <c r="F455" s="254"/>
      <c r="G455" s="255"/>
    </row>
    <row r="456" s="245" customFormat="1" ht="16.5" customHeight="1" spans="1:7">
      <c r="A456" s="259" t="s">
        <v>535</v>
      </c>
      <c r="B456" s="254"/>
      <c r="C456" s="254"/>
      <c r="D456" s="37"/>
      <c r="E456" s="37"/>
      <c r="F456" s="254"/>
      <c r="G456" s="255"/>
    </row>
    <row r="457" s="245" customFormat="1" ht="16.5" customHeight="1" spans="1:7">
      <c r="A457" s="259" t="s">
        <v>536</v>
      </c>
      <c r="B457" s="254">
        <f>SUM(B458:B460)</f>
        <v>791</v>
      </c>
      <c r="C457" s="254">
        <f>SUM(C458:C460)</f>
        <v>791</v>
      </c>
      <c r="D457" s="37">
        <f t="shared" ref="D457:D464" si="28">C457/B457</f>
        <v>1</v>
      </c>
      <c r="E457" s="37">
        <f t="shared" si="25"/>
        <v>0.0955678670360111</v>
      </c>
      <c r="F457" s="254"/>
      <c r="G457" s="255">
        <f>SUM(G458:G460)</f>
        <v>722</v>
      </c>
    </row>
    <row r="458" s="245" customFormat="1" ht="16.5" customHeight="1" spans="1:7">
      <c r="A458" s="216" t="s">
        <v>537</v>
      </c>
      <c r="B458" s="254">
        <v>253</v>
      </c>
      <c r="C458" s="254">
        <v>253</v>
      </c>
      <c r="D458" s="37">
        <f t="shared" si="28"/>
        <v>1</v>
      </c>
      <c r="E458" s="37">
        <f t="shared" si="25"/>
        <v>-0.0380228136882129</v>
      </c>
      <c r="F458" s="254"/>
      <c r="G458" s="255">
        <v>263</v>
      </c>
    </row>
    <row r="459" s="245" customFormat="1" ht="16.5" customHeight="1" spans="1:7">
      <c r="A459" s="216" t="s">
        <v>538</v>
      </c>
      <c r="B459" s="254">
        <v>130</v>
      </c>
      <c r="C459" s="254">
        <v>130</v>
      </c>
      <c r="D459" s="37">
        <f t="shared" si="28"/>
        <v>1</v>
      </c>
      <c r="E459" s="37">
        <f t="shared" si="25"/>
        <v>2.82352941176471</v>
      </c>
      <c r="F459" s="254"/>
      <c r="G459" s="255">
        <v>34</v>
      </c>
    </row>
    <row r="460" s="245" customFormat="1" ht="16.5" customHeight="1" spans="1:7">
      <c r="A460" s="216" t="s">
        <v>539</v>
      </c>
      <c r="B460" s="254">
        <v>408</v>
      </c>
      <c r="C460" s="254">
        <v>408</v>
      </c>
      <c r="D460" s="37">
        <f t="shared" si="28"/>
        <v>1</v>
      </c>
      <c r="E460" s="37">
        <f t="shared" si="25"/>
        <v>-0.04</v>
      </c>
      <c r="F460" s="254"/>
      <c r="G460" s="255">
        <v>425</v>
      </c>
    </row>
    <row r="461" s="245" customFormat="1" ht="16.5" customHeight="1" spans="1:7">
      <c r="A461" s="259" t="s">
        <v>540</v>
      </c>
      <c r="B461" s="254">
        <f>SUM(B462)</f>
        <v>11</v>
      </c>
      <c r="C461" s="254">
        <f>SUM(C462)</f>
        <v>11</v>
      </c>
      <c r="D461" s="37">
        <f t="shared" si="28"/>
        <v>1</v>
      </c>
      <c r="E461" s="37"/>
      <c r="F461" s="254"/>
      <c r="G461" s="255">
        <f>SUM(G462)</f>
        <v>0</v>
      </c>
    </row>
    <row r="462" s="245" customFormat="1" ht="16.5" customHeight="1" spans="1:7">
      <c r="A462" s="259" t="s">
        <v>541</v>
      </c>
      <c r="B462" s="254">
        <v>11</v>
      </c>
      <c r="C462" s="254">
        <v>11</v>
      </c>
      <c r="D462" s="37">
        <f t="shared" si="28"/>
        <v>1</v>
      </c>
      <c r="E462" s="37"/>
      <c r="F462" s="254"/>
      <c r="G462" s="258"/>
    </row>
    <row r="463" s="245" customFormat="1" ht="16.5" customHeight="1" spans="1:7">
      <c r="A463" s="259" t="s">
        <v>542</v>
      </c>
      <c r="B463" s="254">
        <f>SUM(B464)</f>
        <v>507</v>
      </c>
      <c r="C463" s="254">
        <f>SUM(C464)</f>
        <v>507</v>
      </c>
      <c r="D463" s="37">
        <f t="shared" si="28"/>
        <v>1</v>
      </c>
      <c r="E463" s="37">
        <f t="shared" si="25"/>
        <v>0.877777777777778</v>
      </c>
      <c r="F463" s="254"/>
      <c r="G463" s="255">
        <f>SUM(G464)</f>
        <v>270</v>
      </c>
    </row>
    <row r="464" s="245" customFormat="1" ht="16.5" customHeight="1" spans="1:7">
      <c r="A464" s="216" t="s">
        <v>543</v>
      </c>
      <c r="B464" s="254">
        <v>507</v>
      </c>
      <c r="C464" s="254">
        <v>507</v>
      </c>
      <c r="D464" s="37">
        <f t="shared" si="28"/>
        <v>1</v>
      </c>
      <c r="E464" s="37">
        <f t="shared" si="25"/>
        <v>0.877777777777778</v>
      </c>
      <c r="F464" s="254"/>
      <c r="G464" s="255">
        <v>270</v>
      </c>
    </row>
    <row r="465" s="245" customFormat="1" ht="16.5" customHeight="1" spans="1:7">
      <c r="A465" s="259" t="s">
        <v>544</v>
      </c>
      <c r="B465" s="254"/>
      <c r="C465" s="254"/>
      <c r="D465" s="37"/>
      <c r="E465" s="37"/>
      <c r="F465" s="254"/>
      <c r="G465" s="258"/>
    </row>
    <row r="466" s="245" customFormat="1" ht="16.5" customHeight="1" spans="1:7">
      <c r="A466" s="260" t="s">
        <v>75</v>
      </c>
      <c r="B466" s="254">
        <f>B467+B468+B469+B470+B474+B477+B478+B482</f>
        <v>6977</v>
      </c>
      <c r="C466" s="254">
        <f>C467+C468+C469+C470+C474+C477+C478+C482</f>
        <v>6691</v>
      </c>
      <c r="D466" s="37">
        <f>C466/B466</f>
        <v>0.959008169700444</v>
      </c>
      <c r="E466" s="37">
        <f t="shared" si="25"/>
        <v>0.0304943785615278</v>
      </c>
      <c r="F466" s="254"/>
      <c r="G466" s="255">
        <f>G467+G468+G469+G470+G474+G477+G478+G482</f>
        <v>6493</v>
      </c>
    </row>
    <row r="467" s="245" customFormat="1" ht="16.5" customHeight="1" spans="1:7">
      <c r="A467" s="259" t="s">
        <v>545</v>
      </c>
      <c r="B467" s="254"/>
      <c r="C467" s="254"/>
      <c r="D467" s="37"/>
      <c r="E467" s="37"/>
      <c r="F467" s="254"/>
      <c r="G467" s="258"/>
    </row>
    <row r="468" s="245" customFormat="1" ht="16.5" customHeight="1" spans="1:7">
      <c r="A468" s="259" t="s">
        <v>546</v>
      </c>
      <c r="B468" s="254"/>
      <c r="C468" s="254"/>
      <c r="D468" s="37"/>
      <c r="E468" s="37"/>
      <c r="F468" s="254"/>
      <c r="G468" s="258"/>
    </row>
    <row r="469" s="245" customFormat="1" ht="16.5" customHeight="1" spans="1:7">
      <c r="A469" s="259" t="s">
        <v>547</v>
      </c>
      <c r="B469" s="254"/>
      <c r="C469" s="254"/>
      <c r="D469" s="37"/>
      <c r="E469" s="37"/>
      <c r="F469" s="254"/>
      <c r="G469" s="258"/>
    </row>
    <row r="470" s="245" customFormat="1" ht="16.5" customHeight="1" spans="1:7">
      <c r="A470" s="259" t="s">
        <v>548</v>
      </c>
      <c r="B470" s="254">
        <f>SUM(B471:B473)</f>
        <v>2296</v>
      </c>
      <c r="C470" s="254">
        <f>SUM(C471:C473)</f>
        <v>2296</v>
      </c>
      <c r="D470" s="37">
        <f t="shared" ref="D470:D476" si="29">C470/B470</f>
        <v>1</v>
      </c>
      <c r="E470" s="37">
        <f t="shared" ref="E470:E524" si="30">(C470-G470)/G470</f>
        <v>3.60120240480962</v>
      </c>
      <c r="F470" s="254"/>
      <c r="G470" s="255">
        <f>SUM(G471:G473)</f>
        <v>499</v>
      </c>
    </row>
    <row r="471" s="245" customFormat="1" ht="16.5" customHeight="1" spans="1:7">
      <c r="A471" s="216" t="s">
        <v>549</v>
      </c>
      <c r="B471" s="254">
        <v>210</v>
      </c>
      <c r="C471" s="254">
        <v>210</v>
      </c>
      <c r="D471" s="37">
        <f t="shared" si="29"/>
        <v>1</v>
      </c>
      <c r="E471" s="37">
        <f t="shared" si="30"/>
        <v>-0.032258064516129</v>
      </c>
      <c r="F471" s="254"/>
      <c r="G471" s="255">
        <v>217</v>
      </c>
    </row>
    <row r="472" s="245" customFormat="1" ht="16.5" customHeight="1" spans="1:7">
      <c r="A472" s="216" t="s">
        <v>550</v>
      </c>
      <c r="B472" s="254">
        <v>1895</v>
      </c>
      <c r="C472" s="254">
        <v>1895</v>
      </c>
      <c r="D472" s="37">
        <f t="shared" si="29"/>
        <v>1</v>
      </c>
      <c r="E472" s="37"/>
      <c r="F472" s="254"/>
      <c r="G472" s="258"/>
    </row>
    <row r="473" s="245" customFormat="1" ht="16.5" customHeight="1" spans="1:7">
      <c r="A473" s="216" t="s">
        <v>551</v>
      </c>
      <c r="B473" s="254">
        <v>191</v>
      </c>
      <c r="C473" s="254">
        <v>191</v>
      </c>
      <c r="D473" s="37">
        <f t="shared" si="29"/>
        <v>1</v>
      </c>
      <c r="E473" s="37">
        <f t="shared" si="30"/>
        <v>-0.322695035460993</v>
      </c>
      <c r="F473" s="254"/>
      <c r="G473" s="255">
        <v>282</v>
      </c>
    </row>
    <row r="474" s="245" customFormat="1" ht="16.5" customHeight="1" spans="1:7">
      <c r="A474" s="259" t="s">
        <v>552</v>
      </c>
      <c r="B474" s="254">
        <f>SUM(B475:B476)</f>
        <v>3584</v>
      </c>
      <c r="C474" s="254">
        <f>SUM(C475:C476)</f>
        <v>3328</v>
      </c>
      <c r="D474" s="37">
        <f t="shared" si="29"/>
        <v>0.928571428571429</v>
      </c>
      <c r="E474" s="37">
        <f t="shared" si="30"/>
        <v>-0.0439528871014076</v>
      </c>
      <c r="F474" s="254"/>
      <c r="G474" s="255">
        <f>SUM(G475:G476)</f>
        <v>3481</v>
      </c>
    </row>
    <row r="475" s="245" customFormat="1" ht="16.5" customHeight="1" spans="1:7">
      <c r="A475" s="216" t="s">
        <v>553</v>
      </c>
      <c r="B475" s="254">
        <v>109</v>
      </c>
      <c r="C475" s="254">
        <v>109</v>
      </c>
      <c r="D475" s="37">
        <f t="shared" si="29"/>
        <v>1</v>
      </c>
      <c r="E475" s="37">
        <f t="shared" si="30"/>
        <v>-0.263513513513513</v>
      </c>
      <c r="F475" s="254"/>
      <c r="G475" s="255">
        <v>148</v>
      </c>
    </row>
    <row r="476" s="245" customFormat="1" ht="16.5" customHeight="1" spans="1:7">
      <c r="A476" s="216" t="s">
        <v>554</v>
      </c>
      <c r="B476" s="254">
        <v>3475</v>
      </c>
      <c r="C476" s="254">
        <v>3219</v>
      </c>
      <c r="D476" s="37">
        <f t="shared" si="29"/>
        <v>0.926330935251799</v>
      </c>
      <c r="E476" s="37">
        <f t="shared" si="30"/>
        <v>-0.0342034203420342</v>
      </c>
      <c r="F476" s="254"/>
      <c r="G476" s="255">
        <v>3333</v>
      </c>
    </row>
    <row r="477" s="245" customFormat="1" ht="16.5" customHeight="1" spans="1:7">
      <c r="A477" s="259" t="s">
        <v>555</v>
      </c>
      <c r="B477" s="254"/>
      <c r="C477" s="254"/>
      <c r="D477" s="37"/>
      <c r="E477" s="37"/>
      <c r="F477" s="254"/>
      <c r="G477" s="255"/>
    </row>
    <row r="478" s="245" customFormat="1" ht="16.5" customHeight="1" spans="1:7">
      <c r="A478" s="259" t="s">
        <v>556</v>
      </c>
      <c r="B478" s="254">
        <f>SUM(B479:B481)</f>
        <v>1097</v>
      </c>
      <c r="C478" s="254">
        <f>SUM(C479:C481)</f>
        <v>1067</v>
      </c>
      <c r="D478" s="37">
        <f>C478/B478</f>
        <v>0.972652689152233</v>
      </c>
      <c r="E478" s="37">
        <f t="shared" si="30"/>
        <v>-0.575407879029049</v>
      </c>
      <c r="F478" s="254"/>
      <c r="G478" s="255">
        <f>SUM(G479:G481)</f>
        <v>2513</v>
      </c>
    </row>
    <row r="479" s="245" customFormat="1" ht="16.5" customHeight="1" spans="1:7">
      <c r="A479" s="216" t="s">
        <v>557</v>
      </c>
      <c r="B479" s="254"/>
      <c r="C479" s="254"/>
      <c r="D479" s="37"/>
      <c r="E479" s="37">
        <f t="shared" si="30"/>
        <v>-1</v>
      </c>
      <c r="F479" s="254"/>
      <c r="G479" s="255">
        <v>329</v>
      </c>
    </row>
    <row r="480" s="245" customFormat="1" ht="16.5" customHeight="1" spans="1:7">
      <c r="A480" s="216" t="s">
        <v>558</v>
      </c>
      <c r="B480" s="254">
        <v>603</v>
      </c>
      <c r="C480" s="254">
        <v>573</v>
      </c>
      <c r="D480" s="37">
        <f>C480/B480</f>
        <v>0.950248756218905</v>
      </c>
      <c r="E480" s="37">
        <f t="shared" si="30"/>
        <v>-0.707354443309499</v>
      </c>
      <c r="F480" s="254"/>
      <c r="G480" s="255">
        <v>1958</v>
      </c>
    </row>
    <row r="481" s="245" customFormat="1" ht="16.5" customHeight="1" spans="1:7">
      <c r="A481" s="216" t="s">
        <v>559</v>
      </c>
      <c r="B481" s="254">
        <v>494</v>
      </c>
      <c r="C481" s="254">
        <v>494</v>
      </c>
      <c r="D481" s="37">
        <f>C481/B481</f>
        <v>1</v>
      </c>
      <c r="E481" s="37">
        <f t="shared" si="30"/>
        <v>1.1858407079646</v>
      </c>
      <c r="F481" s="254"/>
      <c r="G481" s="255">
        <v>226</v>
      </c>
    </row>
    <row r="482" s="245" customFormat="1" ht="16.5" customHeight="1" spans="1:7">
      <c r="A482" s="259" t="s">
        <v>560</v>
      </c>
      <c r="B482" s="254"/>
      <c r="C482" s="254"/>
      <c r="D482" s="37"/>
      <c r="E482" s="37"/>
      <c r="F482" s="254"/>
      <c r="G482" s="255"/>
    </row>
    <row r="483" s="245" customFormat="1" ht="16.5" customHeight="1" spans="1:7">
      <c r="A483" s="216" t="s">
        <v>561</v>
      </c>
      <c r="B483" s="254"/>
      <c r="C483" s="254"/>
      <c r="D483" s="37"/>
      <c r="E483" s="37"/>
      <c r="F483" s="254"/>
      <c r="G483" s="255"/>
    </row>
    <row r="484" s="245" customFormat="1" ht="16.5" customHeight="1" spans="1:7">
      <c r="A484" s="260" t="s">
        <v>76</v>
      </c>
      <c r="B484" s="254">
        <f>B485+B489+B491+B493</f>
        <v>1338</v>
      </c>
      <c r="C484" s="254">
        <f>C485+C489+C491+C493</f>
        <v>1338</v>
      </c>
      <c r="D484" s="37">
        <f t="shared" ref="D484:D494" si="31">C484/B484</f>
        <v>1</v>
      </c>
      <c r="E484" s="37">
        <f t="shared" si="30"/>
        <v>0.791164658634538</v>
      </c>
      <c r="F484" s="254"/>
      <c r="G484" s="255">
        <f>G485+G489+G491+G493</f>
        <v>747</v>
      </c>
    </row>
    <row r="485" s="245" customFormat="1" ht="16.5" customHeight="1" spans="1:7">
      <c r="A485" s="259" t="s">
        <v>562</v>
      </c>
      <c r="B485" s="254">
        <f>SUM(B486:B488)</f>
        <v>919</v>
      </c>
      <c r="C485" s="254">
        <f>SUM(C486:C488)</f>
        <v>919</v>
      </c>
      <c r="D485" s="37">
        <f t="shared" si="31"/>
        <v>1</v>
      </c>
      <c r="E485" s="37">
        <f t="shared" si="30"/>
        <v>0.235215053763441</v>
      </c>
      <c r="F485" s="254"/>
      <c r="G485" s="255">
        <f>SUM(G486:G488)</f>
        <v>744</v>
      </c>
    </row>
    <row r="486" s="245" customFormat="1" ht="16.5" customHeight="1" spans="1:7">
      <c r="A486" s="216" t="s">
        <v>563</v>
      </c>
      <c r="B486" s="254">
        <v>189</v>
      </c>
      <c r="C486" s="254">
        <v>189</v>
      </c>
      <c r="D486" s="37">
        <f t="shared" si="31"/>
        <v>1</v>
      </c>
      <c r="E486" s="37">
        <f t="shared" si="30"/>
        <v>-0.398089171974522</v>
      </c>
      <c r="F486" s="254"/>
      <c r="G486" s="255">
        <v>314</v>
      </c>
    </row>
    <row r="487" s="245" customFormat="1" ht="16.5" customHeight="1" spans="1:7">
      <c r="A487" s="216" t="s">
        <v>564</v>
      </c>
      <c r="B487" s="254">
        <v>379</v>
      </c>
      <c r="C487" s="254">
        <v>379</v>
      </c>
      <c r="D487" s="37">
        <f t="shared" si="31"/>
        <v>1</v>
      </c>
      <c r="E487" s="37">
        <f t="shared" si="30"/>
        <v>0.0160857908847185</v>
      </c>
      <c r="F487" s="254"/>
      <c r="G487" s="255">
        <v>373</v>
      </c>
    </row>
    <row r="488" s="245" customFormat="1" ht="16.5" customHeight="1" spans="1:7">
      <c r="A488" s="216" t="s">
        <v>565</v>
      </c>
      <c r="B488" s="254">
        <v>351</v>
      </c>
      <c r="C488" s="254">
        <v>351</v>
      </c>
      <c r="D488" s="37">
        <f t="shared" si="31"/>
        <v>1</v>
      </c>
      <c r="E488" s="37">
        <f t="shared" si="30"/>
        <v>5.15789473684211</v>
      </c>
      <c r="F488" s="254"/>
      <c r="G488" s="255">
        <v>57</v>
      </c>
    </row>
    <row r="489" s="245" customFormat="1" ht="16.5" customHeight="1" spans="1:7">
      <c r="A489" s="259" t="s">
        <v>566</v>
      </c>
      <c r="B489" s="254">
        <f>SUM(B490)</f>
        <v>203</v>
      </c>
      <c r="C489" s="254">
        <f>SUM(C490)</f>
        <v>203</v>
      </c>
      <c r="D489" s="37">
        <f t="shared" si="31"/>
        <v>1</v>
      </c>
      <c r="E489" s="37">
        <f t="shared" si="30"/>
        <v>4.63888888888889</v>
      </c>
      <c r="F489" s="254"/>
      <c r="G489" s="255">
        <f>SUM(G490)</f>
        <v>36</v>
      </c>
    </row>
    <row r="490" s="245" customFormat="1" ht="16.5" customHeight="1" spans="1:7">
      <c r="A490" s="216" t="s">
        <v>567</v>
      </c>
      <c r="B490" s="254">
        <v>203</v>
      </c>
      <c r="C490" s="254">
        <v>203</v>
      </c>
      <c r="D490" s="37">
        <f t="shared" si="31"/>
        <v>1</v>
      </c>
      <c r="E490" s="37">
        <f t="shared" si="30"/>
        <v>4.63888888888889</v>
      </c>
      <c r="F490" s="254"/>
      <c r="G490" s="255">
        <v>36</v>
      </c>
    </row>
    <row r="491" s="245" customFormat="1" ht="16.5" customHeight="1" spans="1:7">
      <c r="A491" s="259" t="s">
        <v>568</v>
      </c>
      <c r="B491" s="254">
        <f>SUM(B492)</f>
        <v>-4</v>
      </c>
      <c r="C491" s="254">
        <f>SUM(C492)</f>
        <v>-4</v>
      </c>
      <c r="D491" s="37">
        <f t="shared" si="31"/>
        <v>1</v>
      </c>
      <c r="E491" s="37"/>
      <c r="F491" s="254"/>
      <c r="G491" s="255">
        <f>SUM(G492)</f>
        <v>-33</v>
      </c>
    </row>
    <row r="492" s="245" customFormat="1" ht="16.5" customHeight="1" spans="1:7">
      <c r="A492" s="216" t="s">
        <v>569</v>
      </c>
      <c r="B492" s="254">
        <v>-4</v>
      </c>
      <c r="C492" s="254">
        <v>-4</v>
      </c>
      <c r="D492" s="37">
        <f t="shared" si="31"/>
        <v>1</v>
      </c>
      <c r="E492" s="37"/>
      <c r="F492" s="254"/>
      <c r="G492" s="255">
        <v>-33</v>
      </c>
    </row>
    <row r="493" s="245" customFormat="1" ht="16.5" customHeight="1" spans="1:7">
      <c r="A493" s="259" t="s">
        <v>570</v>
      </c>
      <c r="B493" s="254">
        <f>SUM(B494)</f>
        <v>220</v>
      </c>
      <c r="C493" s="254">
        <f>SUM(C494)</f>
        <v>220</v>
      </c>
      <c r="D493" s="37">
        <f t="shared" si="31"/>
        <v>1</v>
      </c>
      <c r="E493" s="37"/>
      <c r="F493" s="254"/>
      <c r="G493" s="255">
        <f>SUM(G494)</f>
        <v>0</v>
      </c>
    </row>
    <row r="494" s="245" customFormat="1" ht="16.5" customHeight="1" spans="1:7">
      <c r="A494" s="259" t="s">
        <v>571</v>
      </c>
      <c r="B494" s="254">
        <v>220</v>
      </c>
      <c r="C494" s="254">
        <v>220</v>
      </c>
      <c r="D494" s="37">
        <f t="shared" si="31"/>
        <v>1</v>
      </c>
      <c r="E494" s="37"/>
      <c r="F494" s="254"/>
      <c r="G494" s="258"/>
    </row>
    <row r="495" s="245" customFormat="1" ht="16.5" customHeight="1" spans="1:7">
      <c r="A495" s="260" t="s">
        <v>77</v>
      </c>
      <c r="B495" s="254">
        <v>160</v>
      </c>
      <c r="C495" s="254"/>
      <c r="D495" s="37"/>
      <c r="E495" s="37"/>
      <c r="F495" s="254"/>
      <c r="G495" s="258"/>
    </row>
    <row r="496" s="245" customFormat="1" ht="16.5" customHeight="1" spans="1:7">
      <c r="A496" s="259" t="s">
        <v>572</v>
      </c>
      <c r="B496" s="254"/>
      <c r="C496" s="254"/>
      <c r="D496" s="37"/>
      <c r="E496" s="37"/>
      <c r="F496" s="254"/>
      <c r="G496" s="258"/>
    </row>
    <row r="497" s="245" customFormat="1" ht="16.5" customHeight="1" spans="1:7">
      <c r="A497" s="259" t="s">
        <v>573</v>
      </c>
      <c r="B497" s="254"/>
      <c r="C497" s="254"/>
      <c r="D497" s="37"/>
      <c r="E497" s="37"/>
      <c r="F497" s="254"/>
      <c r="G497" s="258"/>
    </row>
    <row r="498" s="245" customFormat="1" ht="16.5" customHeight="1" spans="1:7">
      <c r="A498" s="259" t="s">
        <v>574</v>
      </c>
      <c r="B498" s="254">
        <v>160</v>
      </c>
      <c r="C498" s="254"/>
      <c r="D498" s="37"/>
      <c r="E498" s="37"/>
      <c r="F498" s="254"/>
      <c r="G498" s="255"/>
    </row>
    <row r="499" s="245" customFormat="1" ht="16.5" customHeight="1" spans="1:7">
      <c r="A499" s="260" t="s">
        <v>78</v>
      </c>
      <c r="B499" s="254"/>
      <c r="C499" s="254"/>
      <c r="D499" s="37"/>
      <c r="E499" s="37"/>
      <c r="F499" s="254"/>
      <c r="G499" s="258"/>
    </row>
    <row r="500" s="245" customFormat="1" ht="16.5" customHeight="1" spans="1:7">
      <c r="A500" s="259" t="s">
        <v>575</v>
      </c>
      <c r="B500" s="254"/>
      <c r="C500" s="254"/>
      <c r="D500" s="37"/>
      <c r="E500" s="37"/>
      <c r="F500" s="254"/>
      <c r="G500" s="258"/>
    </row>
    <row r="501" s="245" customFormat="1" ht="16.5" customHeight="1" spans="1:7">
      <c r="A501" s="260" t="s">
        <v>79</v>
      </c>
      <c r="B501" s="254">
        <f>B502+B509+B510+B512+B514+B516</f>
        <v>751</v>
      </c>
      <c r="C501" s="254">
        <f>C502+C509+C510+C512+C514+C516</f>
        <v>751</v>
      </c>
      <c r="D501" s="37">
        <f t="shared" ref="D501:D508" si="32">C501/B501</f>
        <v>1</v>
      </c>
      <c r="E501" s="37">
        <f t="shared" si="30"/>
        <v>-0.774677467746775</v>
      </c>
      <c r="F501" s="254"/>
      <c r="G501" s="255">
        <f>G502+G509+G510+G512+G514+G516</f>
        <v>3333</v>
      </c>
    </row>
    <row r="502" s="245" customFormat="1" ht="16.5" customHeight="1" spans="1:7">
      <c r="A502" s="259" t="s">
        <v>576</v>
      </c>
      <c r="B502" s="254">
        <f>SUM(B503:B508)</f>
        <v>442</v>
      </c>
      <c r="C502" s="254">
        <f>SUM(C503:C508)</f>
        <v>442</v>
      </c>
      <c r="D502" s="37">
        <f t="shared" si="32"/>
        <v>1</v>
      </c>
      <c r="E502" s="37">
        <f t="shared" si="30"/>
        <v>-0.858469420429075</v>
      </c>
      <c r="F502" s="254"/>
      <c r="G502" s="255">
        <f>SUM(G503:G508)</f>
        <v>3123</v>
      </c>
    </row>
    <row r="503" s="245" customFormat="1" ht="16.5" customHeight="1" spans="1:7">
      <c r="A503" s="216" t="s">
        <v>577</v>
      </c>
      <c r="B503" s="254">
        <v>-79</v>
      </c>
      <c r="C503" s="254">
        <v>-79</v>
      </c>
      <c r="D503" s="37">
        <f t="shared" si="32"/>
        <v>1</v>
      </c>
      <c r="E503" s="37">
        <f t="shared" si="30"/>
        <v>-1.316</v>
      </c>
      <c r="F503" s="254"/>
      <c r="G503" s="255">
        <v>250</v>
      </c>
    </row>
    <row r="504" s="245" customFormat="1" ht="16.5" customHeight="1" spans="1:7">
      <c r="A504" s="216" t="s">
        <v>578</v>
      </c>
      <c r="B504" s="254">
        <v>908</v>
      </c>
      <c r="C504" s="254">
        <v>908</v>
      </c>
      <c r="D504" s="37">
        <f t="shared" si="32"/>
        <v>1</v>
      </c>
      <c r="E504" s="37">
        <f t="shared" si="30"/>
        <v>29.2666666666667</v>
      </c>
      <c r="F504" s="254"/>
      <c r="G504" s="255">
        <v>30</v>
      </c>
    </row>
    <row r="505" s="245" customFormat="1" ht="16.5" customHeight="1" spans="1:7">
      <c r="A505" s="216" t="s">
        <v>579</v>
      </c>
      <c r="B505" s="254">
        <v>-16342</v>
      </c>
      <c r="C505" s="254">
        <v>-16342</v>
      </c>
      <c r="D505" s="37">
        <f t="shared" si="32"/>
        <v>1</v>
      </c>
      <c r="E505" s="37">
        <f t="shared" si="30"/>
        <v>-47.0338028169014</v>
      </c>
      <c r="F505" s="254"/>
      <c r="G505" s="255">
        <v>355</v>
      </c>
    </row>
    <row r="506" s="245" customFormat="1" ht="16.5" customHeight="1" spans="1:7">
      <c r="A506" s="216" t="s">
        <v>580</v>
      </c>
      <c r="B506" s="254">
        <v>360</v>
      </c>
      <c r="C506" s="254">
        <v>360</v>
      </c>
      <c r="D506" s="37">
        <f t="shared" si="32"/>
        <v>1</v>
      </c>
      <c r="E506" s="37"/>
      <c r="F506" s="254"/>
      <c r="G506" s="258"/>
    </row>
    <row r="507" s="245" customFormat="1" ht="16.5" customHeight="1" spans="1:7">
      <c r="A507" s="216" t="s">
        <v>564</v>
      </c>
      <c r="B507" s="254">
        <v>1763</v>
      </c>
      <c r="C507" s="254">
        <v>1763</v>
      </c>
      <c r="D507" s="37">
        <f t="shared" si="32"/>
        <v>1</v>
      </c>
      <c r="E507" s="37">
        <f t="shared" si="30"/>
        <v>-0.204063205417607</v>
      </c>
      <c r="F507" s="254"/>
      <c r="G507" s="255">
        <v>2215</v>
      </c>
    </row>
    <row r="508" s="245" customFormat="1" ht="16.5" customHeight="1" spans="1:7">
      <c r="A508" s="216" t="s">
        <v>581</v>
      </c>
      <c r="B508" s="254">
        <v>13832</v>
      </c>
      <c r="C508" s="254">
        <v>13832</v>
      </c>
      <c r="D508" s="37">
        <f t="shared" si="32"/>
        <v>1</v>
      </c>
      <c r="E508" s="37">
        <f t="shared" si="30"/>
        <v>49.6666666666667</v>
      </c>
      <c r="F508" s="254"/>
      <c r="G508" s="255">
        <v>273</v>
      </c>
    </row>
    <row r="509" s="245" customFormat="1" ht="16.5" customHeight="1" spans="1:7">
      <c r="A509" s="259" t="s">
        <v>582</v>
      </c>
      <c r="B509" s="254"/>
      <c r="C509" s="254"/>
      <c r="D509" s="37"/>
      <c r="E509" s="37"/>
      <c r="F509" s="254"/>
      <c r="G509" s="258"/>
    </row>
    <row r="510" s="245" customFormat="1" ht="16.5" customHeight="1" spans="1:7">
      <c r="A510" s="259" t="s">
        <v>583</v>
      </c>
      <c r="B510" s="254">
        <f>SUM(B511)</f>
        <v>116</v>
      </c>
      <c r="C510" s="254">
        <f>SUM(C511)</f>
        <v>116</v>
      </c>
      <c r="D510" s="37">
        <f t="shared" ref="D510:D515" si="33">C510/B510</f>
        <v>1</v>
      </c>
      <c r="E510" s="37"/>
      <c r="F510" s="254"/>
      <c r="G510" s="255">
        <f>SUM(G511)</f>
        <v>0</v>
      </c>
    </row>
    <row r="511" s="245" customFormat="1" ht="16.5" customHeight="1" spans="1:7">
      <c r="A511" s="259" t="s">
        <v>584</v>
      </c>
      <c r="B511" s="254">
        <v>116</v>
      </c>
      <c r="C511" s="254">
        <v>116</v>
      </c>
      <c r="D511" s="37">
        <f t="shared" si="33"/>
        <v>1</v>
      </c>
      <c r="E511" s="37"/>
      <c r="F511" s="254"/>
      <c r="G511" s="258"/>
    </row>
    <row r="512" s="245" customFormat="1" ht="16.5" customHeight="1" spans="1:7">
      <c r="A512" s="259" t="s">
        <v>585</v>
      </c>
      <c r="B512" s="254">
        <f>SUM(B513)</f>
        <v>147</v>
      </c>
      <c r="C512" s="254">
        <f>SUM(C513)</f>
        <v>147</v>
      </c>
      <c r="D512" s="37">
        <f t="shared" si="33"/>
        <v>1</v>
      </c>
      <c r="E512" s="37">
        <f t="shared" si="30"/>
        <v>-0.0869565217391304</v>
      </c>
      <c r="F512" s="254"/>
      <c r="G512" s="255">
        <f>SUM(G513)</f>
        <v>161</v>
      </c>
    </row>
    <row r="513" s="245" customFormat="1" ht="16.5" customHeight="1" spans="1:7">
      <c r="A513" s="216" t="s">
        <v>586</v>
      </c>
      <c r="B513" s="254">
        <v>147</v>
      </c>
      <c r="C513" s="254">
        <v>147</v>
      </c>
      <c r="D513" s="37">
        <f t="shared" si="33"/>
        <v>1</v>
      </c>
      <c r="E513" s="37">
        <f t="shared" si="30"/>
        <v>-0.0869565217391304</v>
      </c>
      <c r="F513" s="254"/>
      <c r="G513" s="255">
        <v>161</v>
      </c>
    </row>
    <row r="514" s="245" customFormat="1" ht="16.5" customHeight="1" spans="1:7">
      <c r="A514" s="259" t="s">
        <v>587</v>
      </c>
      <c r="B514" s="254">
        <f>SUM(B515)</f>
        <v>46</v>
      </c>
      <c r="C514" s="254">
        <f>SUM(C515)</f>
        <v>46</v>
      </c>
      <c r="D514" s="37">
        <f t="shared" si="33"/>
        <v>1</v>
      </c>
      <c r="E514" s="37">
        <f t="shared" si="30"/>
        <v>-0.0612244897959184</v>
      </c>
      <c r="F514" s="254"/>
      <c r="G514" s="255">
        <f>SUM(G515)</f>
        <v>49</v>
      </c>
    </row>
    <row r="515" s="245" customFormat="1" ht="16.5" customHeight="1" spans="1:7">
      <c r="A515" s="216" t="s">
        <v>588</v>
      </c>
      <c r="B515" s="254">
        <v>46</v>
      </c>
      <c r="C515" s="254">
        <v>46</v>
      </c>
      <c r="D515" s="37">
        <f t="shared" si="33"/>
        <v>1</v>
      </c>
      <c r="E515" s="37">
        <f t="shared" si="30"/>
        <v>-0.0612244897959184</v>
      </c>
      <c r="F515" s="254"/>
      <c r="G515" s="255">
        <v>49</v>
      </c>
    </row>
    <row r="516" s="245" customFormat="1" ht="16.5" customHeight="1" spans="1:7">
      <c r="A516" s="259" t="s">
        <v>589</v>
      </c>
      <c r="B516" s="254"/>
      <c r="C516" s="254"/>
      <c r="D516" s="37"/>
      <c r="E516" s="37"/>
      <c r="F516" s="254"/>
      <c r="G516" s="255"/>
    </row>
    <row r="517" s="245" customFormat="1" ht="16.5" customHeight="1" spans="1:7">
      <c r="A517" s="260" t="s">
        <v>80</v>
      </c>
      <c r="B517" s="254">
        <f>B518+B525+B527</f>
        <v>15862</v>
      </c>
      <c r="C517" s="254">
        <f>C518+C525+C527</f>
        <v>15675</v>
      </c>
      <c r="D517" s="37">
        <f t="shared" ref="D517:D536" si="34">C517/B517</f>
        <v>0.988210818307906</v>
      </c>
      <c r="E517" s="37">
        <f t="shared" si="30"/>
        <v>7.05498458376156</v>
      </c>
      <c r="F517" s="254"/>
      <c r="G517" s="255">
        <f>G518+G525+G527</f>
        <v>1946</v>
      </c>
    </row>
    <row r="518" s="245" customFormat="1" ht="16.5" customHeight="1" spans="1:7">
      <c r="A518" s="259" t="s">
        <v>590</v>
      </c>
      <c r="B518" s="254">
        <f>SUM(B519:B524)</f>
        <v>8417</v>
      </c>
      <c r="C518" s="254">
        <f>SUM(C519:C524)</f>
        <v>8230</v>
      </c>
      <c r="D518" s="37">
        <f t="shared" si="34"/>
        <v>0.977783058096709</v>
      </c>
      <c r="E518" s="37">
        <f t="shared" si="30"/>
        <v>4.18261964735516</v>
      </c>
      <c r="F518" s="254"/>
      <c r="G518" s="255">
        <f>SUM(G519:G524)</f>
        <v>1588</v>
      </c>
    </row>
    <row r="519" s="245" customFormat="1" ht="16.5" customHeight="1" spans="1:7">
      <c r="A519" s="259" t="s">
        <v>591</v>
      </c>
      <c r="B519" s="254"/>
      <c r="C519" s="254"/>
      <c r="D519" s="37"/>
      <c r="E519" s="37"/>
      <c r="F519" s="254"/>
      <c r="G519" s="255">
        <v>-232</v>
      </c>
    </row>
    <row r="520" s="245" customFormat="1" ht="16.5" customHeight="1" spans="1:7">
      <c r="A520" s="216" t="s">
        <v>592</v>
      </c>
      <c r="B520" s="254">
        <v>1652</v>
      </c>
      <c r="C520" s="254">
        <v>1652</v>
      </c>
      <c r="D520" s="37">
        <f t="shared" si="34"/>
        <v>1</v>
      </c>
      <c r="E520" s="37">
        <f t="shared" si="30"/>
        <v>27.4827586206897</v>
      </c>
      <c r="F520" s="254"/>
      <c r="G520" s="255">
        <v>58</v>
      </c>
    </row>
    <row r="521" s="245" customFormat="1" ht="16.5" customHeight="1" spans="1:7">
      <c r="A521" s="216" t="s">
        <v>593</v>
      </c>
      <c r="B521" s="254">
        <v>-1029</v>
      </c>
      <c r="C521" s="254">
        <v>-1029</v>
      </c>
      <c r="D521" s="37">
        <f t="shared" si="34"/>
        <v>1</v>
      </c>
      <c r="E521" s="37">
        <f t="shared" si="30"/>
        <v>-8.56617647058824</v>
      </c>
      <c r="F521" s="254"/>
      <c r="G521" s="255">
        <v>136</v>
      </c>
    </row>
    <row r="522" s="245" customFormat="1" ht="16.5" customHeight="1" spans="1:7">
      <c r="A522" s="216" t="s">
        <v>594</v>
      </c>
      <c r="B522" s="254">
        <v>4564</v>
      </c>
      <c r="C522" s="254">
        <v>4377</v>
      </c>
      <c r="D522" s="37">
        <f t="shared" si="34"/>
        <v>0.959027169149869</v>
      </c>
      <c r="E522" s="37"/>
      <c r="F522" s="254"/>
      <c r="G522" s="255">
        <v>-333</v>
      </c>
    </row>
    <row r="523" s="245" customFormat="1" ht="16.5" customHeight="1" spans="1:7">
      <c r="A523" s="216" t="s">
        <v>595</v>
      </c>
      <c r="B523" s="254">
        <v>-7</v>
      </c>
      <c r="C523" s="254">
        <v>-7</v>
      </c>
      <c r="D523" s="37">
        <f t="shared" si="34"/>
        <v>1</v>
      </c>
      <c r="E523" s="37"/>
      <c r="F523" s="254"/>
      <c r="G523" s="255">
        <v>-129</v>
      </c>
    </row>
    <row r="524" s="245" customFormat="1" ht="16.5" customHeight="1" spans="1:7">
      <c r="A524" s="216" t="s">
        <v>596</v>
      </c>
      <c r="B524" s="254">
        <v>3237</v>
      </c>
      <c r="C524" s="254">
        <v>3237</v>
      </c>
      <c r="D524" s="37">
        <f t="shared" si="34"/>
        <v>1</v>
      </c>
      <c r="E524" s="37">
        <f t="shared" si="30"/>
        <v>0.550287356321839</v>
      </c>
      <c r="F524" s="254"/>
      <c r="G524" s="255">
        <v>2088</v>
      </c>
    </row>
    <row r="525" s="245" customFormat="1" ht="16.5" customHeight="1" spans="1:7">
      <c r="A525" s="259" t="s">
        <v>597</v>
      </c>
      <c r="B525" s="254">
        <f>SUM(B526)</f>
        <v>7133</v>
      </c>
      <c r="C525" s="254">
        <f>SUM(C526)</f>
        <v>7133</v>
      </c>
      <c r="D525" s="37">
        <f t="shared" si="34"/>
        <v>1</v>
      </c>
      <c r="E525" s="37"/>
      <c r="F525" s="254"/>
      <c r="G525" s="255">
        <f>SUM(G526)</f>
        <v>0</v>
      </c>
    </row>
    <row r="526" s="245" customFormat="1" ht="16.5" customHeight="1" spans="1:7">
      <c r="A526" s="259" t="s">
        <v>598</v>
      </c>
      <c r="B526" s="254">
        <v>7133</v>
      </c>
      <c r="C526" s="254">
        <v>7133</v>
      </c>
      <c r="D526" s="37">
        <f t="shared" si="34"/>
        <v>1</v>
      </c>
      <c r="E526" s="37"/>
      <c r="F526" s="254"/>
      <c r="G526" s="258"/>
    </row>
    <row r="527" s="245" customFormat="1" ht="16.5" customHeight="1" spans="1:7">
      <c r="A527" s="259" t="s">
        <v>599</v>
      </c>
      <c r="B527" s="254">
        <f>SUM(B528:B529)</f>
        <v>312</v>
      </c>
      <c r="C527" s="254">
        <f>SUM(C528:C529)</f>
        <v>312</v>
      </c>
      <c r="D527" s="37">
        <f t="shared" si="34"/>
        <v>1</v>
      </c>
      <c r="E527" s="37">
        <f t="shared" ref="E527:E554" si="35">(C527-G527)/G527</f>
        <v>-0.128491620111732</v>
      </c>
      <c r="F527" s="254"/>
      <c r="G527" s="255">
        <f>SUM(G528:G529)</f>
        <v>358</v>
      </c>
    </row>
    <row r="528" s="245" customFormat="1" ht="16.5" customHeight="1" spans="1:7">
      <c r="A528" s="216" t="s">
        <v>600</v>
      </c>
      <c r="B528" s="254">
        <v>12</v>
      </c>
      <c r="C528" s="254">
        <v>12</v>
      </c>
      <c r="D528" s="37">
        <f t="shared" si="34"/>
        <v>1</v>
      </c>
      <c r="E528" s="37">
        <f t="shared" si="35"/>
        <v>-0.454545454545455</v>
      </c>
      <c r="F528" s="254"/>
      <c r="G528" s="255">
        <v>22</v>
      </c>
    </row>
    <row r="529" s="245" customFormat="1" ht="16.5" customHeight="1" spans="1:7">
      <c r="A529" s="216" t="s">
        <v>601</v>
      </c>
      <c r="B529" s="254">
        <v>300</v>
      </c>
      <c r="C529" s="254">
        <v>300</v>
      </c>
      <c r="D529" s="37">
        <f t="shared" si="34"/>
        <v>1</v>
      </c>
      <c r="E529" s="37"/>
      <c r="F529" s="254"/>
      <c r="G529" s="255">
        <v>336</v>
      </c>
    </row>
    <row r="530" s="245" customFormat="1" ht="16.5" customHeight="1" spans="1:7">
      <c r="A530" s="260" t="s">
        <v>81</v>
      </c>
      <c r="B530" s="254">
        <f>B531+B534+B537+B538</f>
        <v>246</v>
      </c>
      <c r="C530" s="254">
        <f>C531+C534+C537+C538</f>
        <v>246</v>
      </c>
      <c r="D530" s="37">
        <f t="shared" si="34"/>
        <v>1</v>
      </c>
      <c r="E530" s="37">
        <f t="shared" si="35"/>
        <v>-0.206451612903226</v>
      </c>
      <c r="F530" s="254"/>
      <c r="G530" s="255">
        <f>G531+G534+G537+G538</f>
        <v>310</v>
      </c>
    </row>
    <row r="531" s="245" customFormat="1" ht="16.5" customHeight="1" spans="1:7">
      <c r="A531" s="259" t="s">
        <v>602</v>
      </c>
      <c r="B531" s="254">
        <f>SUM(B532:B533)</f>
        <v>187</v>
      </c>
      <c r="C531" s="254">
        <f>SUM(C532:C533)</f>
        <v>187</v>
      </c>
      <c r="D531" s="37">
        <f t="shared" si="34"/>
        <v>1</v>
      </c>
      <c r="E531" s="37">
        <f t="shared" si="35"/>
        <v>-0.18695652173913</v>
      </c>
      <c r="F531" s="254"/>
      <c r="G531" s="255">
        <f>SUM(G532:G533)</f>
        <v>230</v>
      </c>
    </row>
    <row r="532" s="245" customFormat="1" ht="16.5" customHeight="1" spans="1:7">
      <c r="A532" s="216" t="s">
        <v>603</v>
      </c>
      <c r="B532" s="254">
        <v>187</v>
      </c>
      <c r="C532" s="254">
        <v>187</v>
      </c>
      <c r="D532" s="37">
        <f t="shared" si="34"/>
        <v>1</v>
      </c>
      <c r="E532" s="37">
        <f t="shared" si="35"/>
        <v>-0.176211453744493</v>
      </c>
      <c r="F532" s="254"/>
      <c r="G532" s="255">
        <v>227</v>
      </c>
    </row>
    <row r="533" s="245" customFormat="1" ht="16.5" customHeight="1" spans="1:7">
      <c r="A533" s="216" t="s">
        <v>604</v>
      </c>
      <c r="B533" s="254"/>
      <c r="C533" s="254"/>
      <c r="D533" s="37"/>
      <c r="E533" s="37"/>
      <c r="F533" s="254"/>
      <c r="G533" s="255">
        <v>3</v>
      </c>
    </row>
    <row r="534" s="245" customFormat="1" ht="16.5" customHeight="1" spans="1:7">
      <c r="A534" s="259" t="s">
        <v>605</v>
      </c>
      <c r="B534" s="254">
        <f>SUM(B535:B536)</f>
        <v>59</v>
      </c>
      <c r="C534" s="254">
        <f>SUM(C535:C536)</f>
        <v>59</v>
      </c>
      <c r="D534" s="37">
        <f t="shared" si="34"/>
        <v>1</v>
      </c>
      <c r="E534" s="37">
        <f t="shared" si="35"/>
        <v>-0.2625</v>
      </c>
      <c r="F534" s="254"/>
      <c r="G534" s="255">
        <f>SUM(G535:G536)</f>
        <v>80</v>
      </c>
    </row>
    <row r="535" s="245" customFormat="1" ht="16.5" customHeight="1" spans="1:7">
      <c r="A535" s="216" t="s">
        <v>606</v>
      </c>
      <c r="B535" s="254"/>
      <c r="C535" s="254"/>
      <c r="D535" s="37"/>
      <c r="E535" s="37">
        <f t="shared" si="35"/>
        <v>-1</v>
      </c>
      <c r="F535" s="254"/>
      <c r="G535" s="255">
        <v>80</v>
      </c>
    </row>
    <row r="536" s="245" customFormat="1" ht="16.5" customHeight="1" spans="1:7">
      <c r="A536" s="216" t="s">
        <v>607</v>
      </c>
      <c r="B536" s="254">
        <v>59</v>
      </c>
      <c r="C536" s="254">
        <v>59</v>
      </c>
      <c r="D536" s="37">
        <f t="shared" si="34"/>
        <v>1</v>
      </c>
      <c r="E536" s="37"/>
      <c r="F536" s="254"/>
      <c r="G536" s="258"/>
    </row>
    <row r="537" s="245" customFormat="1" ht="16.5" customHeight="1" spans="1:7">
      <c r="A537" s="259" t="s">
        <v>608</v>
      </c>
      <c r="B537" s="254"/>
      <c r="C537" s="254"/>
      <c r="D537" s="37"/>
      <c r="E537" s="37"/>
      <c r="F537" s="254"/>
      <c r="G537" s="258"/>
    </row>
    <row r="538" s="245" customFormat="1" ht="16.5" customHeight="1" spans="1:7">
      <c r="A538" s="259" t="s">
        <v>609</v>
      </c>
      <c r="B538" s="254"/>
      <c r="C538" s="254"/>
      <c r="D538" s="37"/>
      <c r="E538" s="37"/>
      <c r="F538" s="254"/>
      <c r="G538" s="258"/>
    </row>
    <row r="539" s="245" customFormat="1" ht="16.5" customHeight="1" spans="1:7">
      <c r="A539" s="259" t="s">
        <v>610</v>
      </c>
      <c r="B539" s="254"/>
      <c r="C539" s="254"/>
      <c r="D539" s="37"/>
      <c r="E539" s="37"/>
      <c r="F539" s="254"/>
      <c r="G539" s="258"/>
    </row>
    <row r="540" s="245" customFormat="1" ht="16.5" customHeight="1" spans="1:7">
      <c r="A540" s="260" t="s">
        <v>82</v>
      </c>
      <c r="B540" s="254">
        <f>B541+B542</f>
        <v>225</v>
      </c>
      <c r="C540" s="254">
        <f>C541+C542</f>
        <v>11</v>
      </c>
      <c r="D540" s="37">
        <f t="shared" ref="D540:D547" si="36">C540/B540</f>
        <v>0.0488888888888889</v>
      </c>
      <c r="E540" s="37">
        <f t="shared" si="35"/>
        <v>-0.982649842271293</v>
      </c>
      <c r="F540" s="254"/>
      <c r="G540" s="255">
        <f>G541+G542</f>
        <v>634</v>
      </c>
    </row>
    <row r="541" s="245" customFormat="1" ht="16.5" customHeight="1" spans="1:7">
      <c r="A541" s="259" t="s">
        <v>611</v>
      </c>
      <c r="B541" s="254"/>
      <c r="C541" s="254"/>
      <c r="D541" s="37"/>
      <c r="E541" s="37"/>
      <c r="F541" s="254"/>
      <c r="G541" s="255"/>
    </row>
    <row r="542" s="245" customFormat="1" ht="16.5" customHeight="1" spans="1:7">
      <c r="A542" s="259" t="s">
        <v>612</v>
      </c>
      <c r="B542" s="254">
        <f>SUM(B543)</f>
        <v>225</v>
      </c>
      <c r="C542" s="254">
        <f>SUM(C543)</f>
        <v>11</v>
      </c>
      <c r="D542" s="37">
        <f t="shared" si="36"/>
        <v>0.0488888888888889</v>
      </c>
      <c r="E542" s="37">
        <f t="shared" si="35"/>
        <v>-0.982649842271293</v>
      </c>
      <c r="F542" s="254"/>
      <c r="G542" s="255">
        <f>SUM(G543)</f>
        <v>634</v>
      </c>
    </row>
    <row r="543" s="245" customFormat="1" ht="16.5" customHeight="1" spans="1:7">
      <c r="A543" s="216" t="s">
        <v>613</v>
      </c>
      <c r="B543" s="254">
        <v>225</v>
      </c>
      <c r="C543" s="254">
        <v>11</v>
      </c>
      <c r="D543" s="37">
        <f t="shared" si="36"/>
        <v>0.0488888888888889</v>
      </c>
      <c r="E543" s="37">
        <f t="shared" si="35"/>
        <v>-0.982649842271293</v>
      </c>
      <c r="F543" s="254"/>
      <c r="G543" s="255">
        <v>634</v>
      </c>
    </row>
    <row r="544" s="245" customFormat="1" ht="16.5" customHeight="1" spans="1:7">
      <c r="A544" s="216" t="s">
        <v>83</v>
      </c>
      <c r="B544" s="254">
        <f>B545+B546</f>
        <v>7687</v>
      </c>
      <c r="C544" s="254">
        <f>C545+C546</f>
        <v>7687</v>
      </c>
      <c r="D544" s="37">
        <f t="shared" si="36"/>
        <v>1</v>
      </c>
      <c r="E544" s="37"/>
      <c r="F544" s="254"/>
      <c r="G544" s="255">
        <f>G545+G546</f>
        <v>2626</v>
      </c>
    </row>
    <row r="545" s="245" customFormat="1" ht="16.5" customHeight="1" spans="1:7">
      <c r="A545" s="216" t="s">
        <v>614</v>
      </c>
      <c r="B545" s="254">
        <v>7681</v>
      </c>
      <c r="C545" s="254">
        <v>7681</v>
      </c>
      <c r="D545" s="37">
        <f t="shared" si="36"/>
        <v>1</v>
      </c>
      <c r="E545" s="37">
        <f t="shared" si="35"/>
        <v>1.92498095963442</v>
      </c>
      <c r="F545" s="254"/>
      <c r="G545" s="255">
        <v>2626</v>
      </c>
    </row>
    <row r="546" s="245" customFormat="1" ht="16.5" customHeight="1" spans="1:7">
      <c r="A546" s="216" t="s">
        <v>615</v>
      </c>
      <c r="B546" s="254">
        <v>6</v>
      </c>
      <c r="C546" s="254">
        <v>6</v>
      </c>
      <c r="D546" s="37">
        <f t="shared" si="36"/>
        <v>1</v>
      </c>
      <c r="E546" s="37"/>
      <c r="F546" s="254"/>
      <c r="G546" s="258"/>
    </row>
    <row r="547" s="245" customFormat="1" ht="16.5" customHeight="1" spans="1:7">
      <c r="A547" s="266" t="s">
        <v>84</v>
      </c>
      <c r="B547" s="254">
        <f ca="1">B544+B540+B530+B517+B501+B484+B466+B448+B384+B368+B333+B288+B213+B184+B164+B137+B104+B100+B4+B495</f>
        <v>254681</v>
      </c>
      <c r="C547" s="254">
        <f ca="1">C544+C540+C530+C517+C501+C484+C466+C448+C384+C368+C333+C288+C213+C184+C164+C137+C104+C100+C4</f>
        <v>249284</v>
      </c>
      <c r="D547" s="37">
        <f ca="1" t="shared" si="36"/>
        <v>0.978808784322348</v>
      </c>
      <c r="E547" s="37">
        <f ca="1" t="shared" si="35"/>
        <v>-0.0501476499838061</v>
      </c>
      <c r="F547" s="254">
        <f>F544+F540+F530+F517+F501+F484+F466+F448+F384+F368+F333+F288+F213+F184+F164+F137+F104+F100+F4</f>
        <v>0</v>
      </c>
      <c r="G547" s="255">
        <f ca="1">G544+G540+G530+G517+G501+G484+G466+G448+G384+G368+G333+G288+G213+G184+G164+G137+G104+G100+G4</f>
        <v>262445</v>
      </c>
    </row>
    <row r="548" ht="16.5" customHeight="1" spans="1:7">
      <c r="A548" s="207" t="s">
        <v>85</v>
      </c>
      <c r="B548" s="207">
        <v>20391</v>
      </c>
      <c r="C548" s="207">
        <v>20391</v>
      </c>
      <c r="D548" s="37"/>
      <c r="E548" s="37">
        <f t="shared" si="35"/>
        <v>0</v>
      </c>
      <c r="F548" s="207"/>
      <c r="G548" s="214">
        <v>20391</v>
      </c>
    </row>
    <row r="549" ht="16.5" customHeight="1" spans="1:7">
      <c r="A549" s="207" t="s">
        <v>86</v>
      </c>
      <c r="B549" s="207">
        <v>3235</v>
      </c>
      <c r="C549" s="207">
        <v>3235</v>
      </c>
      <c r="D549" s="37"/>
      <c r="E549" s="37">
        <f t="shared" si="35"/>
        <v>0.898474178403756</v>
      </c>
      <c r="F549" s="207"/>
      <c r="G549" s="214">
        <v>1704</v>
      </c>
    </row>
    <row r="550" ht="16.5" customHeight="1" spans="1:7">
      <c r="A550" s="207" t="s">
        <v>87</v>
      </c>
      <c r="B550" s="207">
        <v>15763</v>
      </c>
      <c r="C550" s="207">
        <v>15763</v>
      </c>
      <c r="D550" s="37"/>
      <c r="E550" s="37">
        <f t="shared" si="35"/>
        <v>-0.926244274023367</v>
      </c>
      <c r="F550" s="207"/>
      <c r="G550" s="214">
        <v>213719</v>
      </c>
    </row>
    <row r="551" ht="16.5" customHeight="1" spans="1:7">
      <c r="A551" s="254" t="s">
        <v>88</v>
      </c>
      <c r="B551" s="207"/>
      <c r="C551" s="207">
        <v>55419</v>
      </c>
      <c r="D551" s="37"/>
      <c r="E551" s="37">
        <f t="shared" si="35"/>
        <v>58.0191693290735</v>
      </c>
      <c r="F551" s="207"/>
      <c r="G551" s="214">
        <v>939</v>
      </c>
    </row>
    <row r="552" ht="16.5" customHeight="1" spans="1:7">
      <c r="A552" s="267" t="s">
        <v>89</v>
      </c>
      <c r="B552" s="207">
        <f ca="1">SUM(B547:B551)</f>
        <v>294070</v>
      </c>
      <c r="C552" s="207">
        <f ca="1">SUM(C547:C551)</f>
        <v>344092</v>
      </c>
      <c r="D552" s="37"/>
      <c r="E552" s="37">
        <f ca="1" t="shared" si="35"/>
        <v>-0.310710379448636</v>
      </c>
      <c r="F552" s="207"/>
      <c r="G552" s="214">
        <f ca="1">SUM(G547:G551)</f>
        <v>499198</v>
      </c>
    </row>
    <row r="553" ht="16.5" customHeight="1" spans="1:7">
      <c r="A553" s="207" t="s">
        <v>90</v>
      </c>
      <c r="B553" s="207"/>
      <c r="C553" s="207">
        <v>5397</v>
      </c>
      <c r="D553" s="37"/>
      <c r="E553" s="37">
        <f t="shared" si="35"/>
        <v>-0.385867091488393</v>
      </c>
      <c r="F553" s="207"/>
      <c r="G553" s="214">
        <v>8788</v>
      </c>
    </row>
    <row r="554" ht="16.5" customHeight="1" spans="1:7">
      <c r="A554" s="207" t="s">
        <v>91</v>
      </c>
      <c r="B554" s="207"/>
      <c r="C554" s="207">
        <v>5397</v>
      </c>
      <c r="D554" s="37"/>
      <c r="E554" s="37">
        <f t="shared" si="35"/>
        <v>-0.385867091488393</v>
      </c>
      <c r="F554" s="207"/>
      <c r="G554" s="214">
        <v>8788</v>
      </c>
    </row>
    <row r="555" ht="18" customHeight="1" spans="1:7">
      <c r="A555" s="219" t="s">
        <v>616</v>
      </c>
      <c r="B555" s="219"/>
      <c r="C555" s="219"/>
      <c r="D555" s="219"/>
      <c r="E555" s="219"/>
      <c r="F555" s="219"/>
      <c r="G555" s="193"/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3" orientation="landscape" useFirstPageNumber="1"/>
  <headerFooter alignWithMargins="0">
    <evenFooter>&amp;C-2-</evenFooter>
  </headerFooter>
  <rowBreaks count="1" manualBreakCount="1">
    <brk id="5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view="pageBreakPreview" zoomScaleNormal="100" workbookViewId="0">
      <selection activeCell="A1" sqref="$A1:$XFD1048576"/>
    </sheetView>
  </sheetViews>
  <sheetFormatPr defaultColWidth="9" defaultRowHeight="14.25" outlineLevelCol="6"/>
  <cols>
    <col min="1" max="1" width="36.5" style="195" customWidth="1"/>
    <col min="2" max="2" width="13.125" style="194" customWidth="1"/>
    <col min="3" max="3" width="15.125" style="194" customWidth="1"/>
    <col min="4" max="4" width="15.5" style="195" customWidth="1"/>
    <col min="5" max="5" width="15.75" style="195" customWidth="1"/>
    <col min="6" max="6" width="23.875" style="195" customWidth="1"/>
    <col min="7" max="7" width="8.5" style="195" hidden="1" customWidth="1"/>
    <col min="8" max="16384" width="9" style="195"/>
  </cols>
  <sheetData>
    <row r="1" s="190" customFormat="1" ht="37.5" customHeight="1" spans="1:6">
      <c r="A1" s="196" t="s">
        <v>617</v>
      </c>
      <c r="B1" s="196"/>
      <c r="C1" s="196"/>
      <c r="D1" s="196"/>
      <c r="E1" s="196"/>
      <c r="F1" s="196"/>
    </row>
    <row r="2" s="223" customFormat="1" ht="27" customHeight="1" spans="1:6">
      <c r="A2" s="223" t="s">
        <v>618</v>
      </c>
      <c r="B2" s="224"/>
      <c r="C2" s="224"/>
      <c r="E2" s="225"/>
      <c r="F2" s="226" t="s">
        <v>2</v>
      </c>
    </row>
    <row r="3" s="221" customFormat="1" ht="30" customHeight="1" spans="1:7">
      <c r="A3" s="227" t="s">
        <v>619</v>
      </c>
      <c r="B3" s="228" t="s">
        <v>620</v>
      </c>
      <c r="C3" s="228" t="s">
        <v>621</v>
      </c>
      <c r="D3" s="227" t="s">
        <v>6</v>
      </c>
      <c r="E3" s="229" t="s">
        <v>622</v>
      </c>
      <c r="F3" s="205" t="s">
        <v>623</v>
      </c>
      <c r="G3" s="230" t="s">
        <v>9</v>
      </c>
    </row>
    <row r="4" s="221" customFormat="1" ht="25.5" customHeight="1" spans="1:7">
      <c r="A4" s="231" t="s">
        <v>42</v>
      </c>
      <c r="B4" s="232">
        <v>14606</v>
      </c>
      <c r="C4" s="232">
        <v>39475</v>
      </c>
      <c r="D4" s="233">
        <f t="shared" ref="D4:D11" si="0">C4/B4</f>
        <v>2.70265644255785</v>
      </c>
      <c r="E4" s="234">
        <f t="shared" ref="E4:E15" si="1">(C4-G4)/G4</f>
        <v>1.67427681051419</v>
      </c>
      <c r="F4" s="235"/>
      <c r="G4" s="231">
        <v>14761</v>
      </c>
    </row>
    <row r="5" s="221" customFormat="1" ht="25.5" customHeight="1" spans="1:7">
      <c r="A5" s="236" t="s">
        <v>43</v>
      </c>
      <c r="B5" s="232">
        <v>300</v>
      </c>
      <c r="C5" s="232">
        <v>3</v>
      </c>
      <c r="D5" s="233"/>
      <c r="E5" s="234">
        <f t="shared" si="1"/>
        <v>-0.990566037735849</v>
      </c>
      <c r="F5" s="235"/>
      <c r="G5" s="231">
        <v>318</v>
      </c>
    </row>
    <row r="6" s="221" customFormat="1" ht="25.5" customHeight="1" spans="1:7">
      <c r="A6" s="231" t="s">
        <v>44</v>
      </c>
      <c r="B6" s="232">
        <v>1723</v>
      </c>
      <c r="C6" s="232">
        <v>4902</v>
      </c>
      <c r="D6" s="233">
        <f t="shared" si="0"/>
        <v>2.84503772489843</v>
      </c>
      <c r="E6" s="234">
        <f t="shared" si="1"/>
        <v>3.67302192564347</v>
      </c>
      <c r="F6" s="235"/>
      <c r="G6" s="231">
        <v>1049</v>
      </c>
    </row>
    <row r="7" s="221" customFormat="1" ht="25.5" customHeight="1" spans="1:7">
      <c r="A7" s="231" t="s">
        <v>45</v>
      </c>
      <c r="B7" s="232">
        <v>105</v>
      </c>
      <c r="C7" s="232">
        <v>480</v>
      </c>
      <c r="D7" s="233">
        <f t="shared" si="0"/>
        <v>4.57142857142857</v>
      </c>
      <c r="E7" s="234">
        <f t="shared" si="1"/>
        <v>2.60902255639098</v>
      </c>
      <c r="F7" s="235"/>
      <c r="G7" s="231">
        <v>133</v>
      </c>
    </row>
    <row r="8" s="221" customFormat="1" ht="25.5" customHeight="1" spans="1:7">
      <c r="A8" s="231" t="s">
        <v>46</v>
      </c>
      <c r="B8" s="232">
        <v>200</v>
      </c>
      <c r="C8" s="232">
        <v>7</v>
      </c>
      <c r="D8" s="233">
        <f t="shared" si="0"/>
        <v>0.035</v>
      </c>
      <c r="E8" s="234">
        <f t="shared" si="1"/>
        <v>-0.588235294117647</v>
      </c>
      <c r="F8" s="235"/>
      <c r="G8" s="231">
        <v>17</v>
      </c>
    </row>
    <row r="9" s="221" customFormat="1" ht="25.5" customHeight="1" spans="1:7">
      <c r="A9" s="231" t="s">
        <v>47</v>
      </c>
      <c r="B9" s="232">
        <v>530</v>
      </c>
      <c r="C9" s="232">
        <v>446</v>
      </c>
      <c r="D9" s="233">
        <f t="shared" si="0"/>
        <v>0.841509433962264</v>
      </c>
      <c r="E9" s="234">
        <f t="shared" si="1"/>
        <v>-0.228373702422145</v>
      </c>
      <c r="F9" s="235"/>
      <c r="G9" s="231">
        <v>578</v>
      </c>
    </row>
    <row r="10" s="221" customFormat="1" ht="25.5" customHeight="1" spans="1:7">
      <c r="A10" s="237" t="s">
        <v>48</v>
      </c>
      <c r="B10" s="238"/>
      <c r="C10" s="238">
        <v>10</v>
      </c>
      <c r="D10" s="233"/>
      <c r="E10" s="234">
        <f t="shared" si="1"/>
        <v>2.33333333333333</v>
      </c>
      <c r="F10" s="239"/>
      <c r="G10" s="237">
        <v>3</v>
      </c>
    </row>
    <row r="11" s="221" customFormat="1" ht="25.5" customHeight="1" spans="1:7">
      <c r="A11" s="240" t="s">
        <v>49</v>
      </c>
      <c r="B11" s="241">
        <f>SUM(B4:B10)</f>
        <v>17464</v>
      </c>
      <c r="C11" s="241">
        <f>SUM(C4:C10)</f>
        <v>45323</v>
      </c>
      <c r="D11" s="233">
        <f t="shared" si="0"/>
        <v>2.59522446174989</v>
      </c>
      <c r="E11" s="234">
        <f t="shared" si="1"/>
        <v>1.68835636751883</v>
      </c>
      <c r="F11" s="210"/>
      <c r="G11" s="57">
        <f>SUM(G4:G10)</f>
        <v>16859</v>
      </c>
    </row>
    <row r="12" s="221" customFormat="1" ht="25.5" customHeight="1" spans="1:7">
      <c r="A12" s="210" t="s">
        <v>50</v>
      </c>
      <c r="B12" s="208">
        <v>3481</v>
      </c>
      <c r="C12" s="208">
        <v>3481</v>
      </c>
      <c r="D12" s="233"/>
      <c r="E12" s="234">
        <f t="shared" si="1"/>
        <v>-0.261091063468478</v>
      </c>
      <c r="F12" s="210"/>
      <c r="G12" s="210">
        <v>4711</v>
      </c>
    </row>
    <row r="13" s="221" customFormat="1" ht="25.5" customHeight="1" spans="1:7">
      <c r="A13" s="210" t="s">
        <v>51</v>
      </c>
      <c r="B13" s="208"/>
      <c r="C13" s="208">
        <v>20500</v>
      </c>
      <c r="D13" s="233"/>
      <c r="E13" s="234">
        <f t="shared" si="1"/>
        <v>3.76744186046512</v>
      </c>
      <c r="F13" s="210"/>
      <c r="G13" s="210">
        <v>4300</v>
      </c>
    </row>
    <row r="14" s="221" customFormat="1" ht="25.5" customHeight="1" spans="1:7">
      <c r="A14" s="57" t="s">
        <v>52</v>
      </c>
      <c r="B14" s="208">
        <v>583</v>
      </c>
      <c r="C14" s="208">
        <v>1735</v>
      </c>
      <c r="D14" s="233"/>
      <c r="E14" s="234">
        <f t="shared" si="1"/>
        <v>0.610956360259981</v>
      </c>
      <c r="F14" s="210"/>
      <c r="G14" s="210">
        <v>1077</v>
      </c>
    </row>
    <row r="15" s="221" customFormat="1" ht="25.5" customHeight="1" spans="1:7">
      <c r="A15" s="242" t="s">
        <v>53</v>
      </c>
      <c r="B15" s="208">
        <f>SUM(B11:B14)</f>
        <v>21528</v>
      </c>
      <c r="C15" s="208">
        <f>SUM(C11:C14)</f>
        <v>71039</v>
      </c>
      <c r="D15" s="233"/>
      <c r="E15" s="234">
        <f t="shared" si="1"/>
        <v>1.63624893309088</v>
      </c>
      <c r="F15" s="210"/>
      <c r="G15" s="210">
        <f>SUM(G11:G14)</f>
        <v>26947</v>
      </c>
    </row>
    <row r="16" s="221" customFormat="1" ht="18.95" customHeight="1" spans="2:3">
      <c r="B16" s="220"/>
      <c r="C16" s="220"/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26" orientation="landscape" useFirstPageNumber="1"/>
  <headerFooter alignWithMargins="0">
    <evenFooter>&amp;C-2-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showZeros="0" view="pageBreakPreview" zoomScaleNormal="85" workbookViewId="0">
      <pane xSplit="1" ySplit="3" topLeftCell="B37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 outlineLevelCol="6"/>
  <cols>
    <col min="1" max="1" width="56.5" style="193" customWidth="1"/>
    <col min="2" max="2" width="14.125" style="194" customWidth="1"/>
    <col min="3" max="3" width="12.625" style="194" customWidth="1"/>
    <col min="4" max="4" width="12.625" style="195" customWidth="1"/>
    <col min="5" max="5" width="13.375" style="195" customWidth="1"/>
    <col min="6" max="6" width="11.5" style="195" customWidth="1"/>
    <col min="7" max="7" width="9.125" style="195" hidden="1" customWidth="1"/>
    <col min="8" max="16384" width="9" style="195"/>
  </cols>
  <sheetData>
    <row r="1" s="190" customFormat="1" ht="28.5" spans="1:6">
      <c r="A1" s="196" t="s">
        <v>624</v>
      </c>
      <c r="B1" s="196"/>
      <c r="C1" s="196"/>
      <c r="D1" s="196"/>
      <c r="E1" s="196"/>
      <c r="F1" s="196"/>
    </row>
    <row r="2" s="191" customFormat="1" ht="15" customHeight="1" spans="1:6">
      <c r="A2" s="197" t="s">
        <v>625</v>
      </c>
      <c r="B2" s="198"/>
      <c r="C2" s="198"/>
      <c r="D2" s="199"/>
      <c r="E2" s="200"/>
      <c r="F2" s="201" t="s">
        <v>2</v>
      </c>
    </row>
    <row r="3" s="192" customFormat="1" ht="33.75" customHeight="1" spans="1:7">
      <c r="A3" s="202" t="s">
        <v>626</v>
      </c>
      <c r="B3" s="203" t="s">
        <v>627</v>
      </c>
      <c r="C3" s="203" t="s">
        <v>628</v>
      </c>
      <c r="D3" s="204" t="s">
        <v>59</v>
      </c>
      <c r="E3" s="204" t="s">
        <v>629</v>
      </c>
      <c r="F3" s="205" t="s">
        <v>630</v>
      </c>
      <c r="G3" s="206" t="s">
        <v>111</v>
      </c>
    </row>
    <row r="4" s="192" customFormat="1" ht="18.95" customHeight="1" spans="1:7">
      <c r="A4" s="207" t="s">
        <v>92</v>
      </c>
      <c r="B4" s="208">
        <f>B5</f>
        <v>175</v>
      </c>
      <c r="C4" s="208">
        <f>C5</f>
        <v>139</v>
      </c>
      <c r="D4" s="209">
        <f t="shared" ref="D4:D33" si="0">C4/B4</f>
        <v>0.794285714285714</v>
      </c>
      <c r="E4" s="209">
        <f>(C4-G4)/G4</f>
        <v>0.158333333333333</v>
      </c>
      <c r="F4" s="210"/>
      <c r="G4" s="211">
        <f>G5</f>
        <v>120</v>
      </c>
    </row>
    <row r="5" s="192" customFormat="1" ht="33.75" customHeight="1" spans="1:7">
      <c r="A5" s="212" t="s">
        <v>631</v>
      </c>
      <c r="B5" s="208">
        <f>B6</f>
        <v>175</v>
      </c>
      <c r="C5" s="208">
        <f>C6</f>
        <v>139</v>
      </c>
      <c r="D5" s="209">
        <f t="shared" si="0"/>
        <v>0.794285714285714</v>
      </c>
      <c r="E5" s="209">
        <f>(C5-G5)/G5</f>
        <v>0.158333333333333</v>
      </c>
      <c r="F5" s="210"/>
      <c r="G5" s="211">
        <f>G6</f>
        <v>120</v>
      </c>
    </row>
    <row r="6" s="192" customFormat="1" ht="18.95" customHeight="1" spans="1:7">
      <c r="A6" s="207" t="s">
        <v>632</v>
      </c>
      <c r="B6" s="208">
        <v>175</v>
      </c>
      <c r="C6" s="208">
        <v>139</v>
      </c>
      <c r="D6" s="209">
        <f t="shared" si="0"/>
        <v>0.794285714285714</v>
      </c>
      <c r="E6" s="209">
        <f>(C6-G6)/G6</f>
        <v>0.158333333333333</v>
      </c>
      <c r="F6" s="210"/>
      <c r="G6" s="213">
        <v>120</v>
      </c>
    </row>
    <row r="7" s="192" customFormat="1" ht="18.95" customHeight="1" spans="1:7">
      <c r="A7" s="35" t="s">
        <v>93</v>
      </c>
      <c r="B7" s="208">
        <f>B8+B11</f>
        <v>235</v>
      </c>
      <c r="C7" s="208">
        <f>C8+C11</f>
        <v>225</v>
      </c>
      <c r="D7" s="209">
        <f t="shared" si="0"/>
        <v>0.957446808510638</v>
      </c>
      <c r="E7" s="209">
        <f t="shared" ref="E7:E19" si="1">(C7-G7)/G7</f>
        <v>-0.110671936758893</v>
      </c>
      <c r="F7" s="210"/>
      <c r="G7" s="211">
        <f>G8+G11</f>
        <v>253</v>
      </c>
    </row>
    <row r="8" s="192" customFormat="1" ht="18.95" customHeight="1" spans="1:7">
      <c r="A8" s="35" t="s">
        <v>633</v>
      </c>
      <c r="B8" s="208">
        <f>B9+B10</f>
        <v>223</v>
      </c>
      <c r="C8" s="208">
        <f>C9+C10</f>
        <v>213</v>
      </c>
      <c r="D8" s="209">
        <f t="shared" si="0"/>
        <v>0.955156950672646</v>
      </c>
      <c r="E8" s="209">
        <f t="shared" si="1"/>
        <v>0.0142857142857143</v>
      </c>
      <c r="F8" s="210"/>
      <c r="G8" s="211">
        <f>G9+G10</f>
        <v>210</v>
      </c>
    </row>
    <row r="9" s="192" customFormat="1" ht="18.95" customHeight="1" spans="1:7">
      <c r="A9" s="40" t="s">
        <v>634</v>
      </c>
      <c r="B9" s="208">
        <v>223</v>
      </c>
      <c r="C9" s="208">
        <v>213</v>
      </c>
      <c r="D9" s="209">
        <f t="shared" si="0"/>
        <v>0.955156950672646</v>
      </c>
      <c r="E9" s="209">
        <f t="shared" si="1"/>
        <v>0.42</v>
      </c>
      <c r="F9" s="210"/>
      <c r="G9" s="213">
        <v>150</v>
      </c>
    </row>
    <row r="10" s="192" customFormat="1" ht="18.95" customHeight="1" spans="1:7">
      <c r="A10" s="40" t="s">
        <v>635</v>
      </c>
      <c r="B10" s="208"/>
      <c r="C10" s="208"/>
      <c r="D10" s="209"/>
      <c r="E10" s="209">
        <f t="shared" si="1"/>
        <v>-1</v>
      </c>
      <c r="F10" s="210"/>
      <c r="G10" s="213">
        <v>60</v>
      </c>
    </row>
    <row r="11" s="192" customFormat="1" ht="18.95" customHeight="1" spans="1:7">
      <c r="A11" s="35" t="s">
        <v>636</v>
      </c>
      <c r="B11" s="208">
        <f>B12</f>
        <v>12</v>
      </c>
      <c r="C11" s="208">
        <f>C12</f>
        <v>12</v>
      </c>
      <c r="D11" s="209">
        <f t="shared" si="0"/>
        <v>1</v>
      </c>
      <c r="E11" s="209">
        <f t="shared" si="1"/>
        <v>-0.720930232558139</v>
      </c>
      <c r="F11" s="210"/>
      <c r="G11" s="211">
        <f>G12</f>
        <v>43</v>
      </c>
    </row>
    <row r="12" s="192" customFormat="1" ht="18.95" customHeight="1" spans="1:7">
      <c r="A12" s="40" t="s">
        <v>637</v>
      </c>
      <c r="B12" s="208">
        <v>12</v>
      </c>
      <c r="C12" s="208">
        <v>12</v>
      </c>
      <c r="D12" s="209">
        <f t="shared" si="0"/>
        <v>1</v>
      </c>
      <c r="E12" s="209">
        <f t="shared" si="1"/>
        <v>-0.720930232558139</v>
      </c>
      <c r="F12" s="210"/>
      <c r="G12" s="213">
        <v>43</v>
      </c>
    </row>
    <row r="13" s="192" customFormat="1" ht="18.95" customHeight="1" spans="1:7">
      <c r="A13" s="35" t="s">
        <v>94</v>
      </c>
      <c r="B13" s="208">
        <f>B14+B24+B28+B32+B33+B35</f>
        <v>49726</v>
      </c>
      <c r="C13" s="208">
        <f>C14+C24+C28+C32+C33+C35</f>
        <v>36138</v>
      </c>
      <c r="D13" s="209">
        <f t="shared" si="0"/>
        <v>0.726742549169449</v>
      </c>
      <c r="E13" s="209">
        <f t="shared" si="1"/>
        <v>1.2011207211597</v>
      </c>
      <c r="F13" s="210"/>
      <c r="G13" s="211">
        <v>16418</v>
      </c>
    </row>
    <row r="14" s="192" customFormat="1" ht="18.95" customHeight="1" spans="1:7">
      <c r="A14" s="35" t="s">
        <v>638</v>
      </c>
      <c r="B14" s="208">
        <f>SUM(B15:B23)</f>
        <v>45504</v>
      </c>
      <c r="C14" s="208">
        <f>SUM(C15:C23)</f>
        <v>33660</v>
      </c>
      <c r="D14" s="209">
        <f t="shared" si="0"/>
        <v>0.739715189873418</v>
      </c>
      <c r="E14" s="209">
        <f t="shared" si="1"/>
        <v>1.33086351360709</v>
      </c>
      <c r="F14" s="210"/>
      <c r="G14" s="211">
        <f>SUM(G15:G23)</f>
        <v>14441</v>
      </c>
    </row>
    <row r="15" s="192" customFormat="1" ht="18.95" customHeight="1" spans="1:7">
      <c r="A15" s="40" t="s">
        <v>639</v>
      </c>
      <c r="B15" s="208">
        <v>11333</v>
      </c>
      <c r="C15" s="208">
        <v>11333</v>
      </c>
      <c r="D15" s="209">
        <f t="shared" si="0"/>
        <v>1</v>
      </c>
      <c r="E15" s="209">
        <f t="shared" si="1"/>
        <v>6.34954604409857</v>
      </c>
      <c r="F15" s="210"/>
      <c r="G15" s="213">
        <v>1542</v>
      </c>
    </row>
    <row r="16" s="192" customFormat="1" ht="18.95" customHeight="1" spans="1:7">
      <c r="A16" s="40" t="s">
        <v>640</v>
      </c>
      <c r="B16" s="208">
        <v>20864</v>
      </c>
      <c r="C16" s="208">
        <v>20864</v>
      </c>
      <c r="D16" s="209">
        <f t="shared" si="0"/>
        <v>1</v>
      </c>
      <c r="E16" s="209">
        <f t="shared" si="1"/>
        <v>0.62682261208577</v>
      </c>
      <c r="F16" s="210"/>
      <c r="G16" s="213">
        <v>12825</v>
      </c>
    </row>
    <row r="17" s="192" customFormat="1" ht="18.95" customHeight="1" spans="1:7">
      <c r="A17" s="40" t="s">
        <v>641</v>
      </c>
      <c r="B17" s="208"/>
      <c r="C17" s="208"/>
      <c r="D17" s="209"/>
      <c r="E17" s="209"/>
      <c r="F17" s="210"/>
      <c r="G17" s="213"/>
    </row>
    <row r="18" s="192" customFormat="1" ht="18.95" customHeight="1" spans="1:7">
      <c r="A18" s="40" t="s">
        <v>642</v>
      </c>
      <c r="B18" s="208">
        <v>-9</v>
      </c>
      <c r="C18" s="208">
        <v>-9</v>
      </c>
      <c r="D18" s="209">
        <f t="shared" si="0"/>
        <v>1</v>
      </c>
      <c r="E18" s="209"/>
      <c r="F18" s="210"/>
      <c r="G18" s="213"/>
    </row>
    <row r="19" s="192" customFormat="1" ht="18.95" customHeight="1" spans="1:7">
      <c r="A19" s="40" t="s">
        <v>643</v>
      </c>
      <c r="B19" s="208">
        <v>6</v>
      </c>
      <c r="C19" s="208">
        <v>6</v>
      </c>
      <c r="D19" s="209">
        <f t="shared" si="0"/>
        <v>1</v>
      </c>
      <c r="E19" s="209">
        <f t="shared" si="1"/>
        <v>-0.793103448275862</v>
      </c>
      <c r="F19" s="210"/>
      <c r="G19" s="213">
        <v>29</v>
      </c>
    </row>
    <row r="20" s="192" customFormat="1" ht="18.95" customHeight="1" spans="1:6">
      <c r="A20" s="40" t="s">
        <v>644</v>
      </c>
      <c r="B20" s="208">
        <v>1565</v>
      </c>
      <c r="C20" s="208">
        <v>1565</v>
      </c>
      <c r="D20" s="209">
        <f t="shared" si="0"/>
        <v>1</v>
      </c>
      <c r="E20" s="209"/>
      <c r="F20" s="210"/>
    </row>
    <row r="21" s="192" customFormat="1" ht="18.95" customHeight="1" spans="1:7">
      <c r="A21" s="40" t="s">
        <v>645</v>
      </c>
      <c r="B21" s="208"/>
      <c r="C21" s="208"/>
      <c r="D21" s="209"/>
      <c r="E21" s="209"/>
      <c r="F21" s="210"/>
      <c r="G21" s="213"/>
    </row>
    <row r="22" s="192" customFormat="1" ht="18.95" customHeight="1" spans="1:7">
      <c r="A22" s="40" t="s">
        <v>646</v>
      </c>
      <c r="B22" s="208">
        <v>3404</v>
      </c>
      <c r="C22" s="208">
        <v>6</v>
      </c>
      <c r="D22" s="209">
        <f t="shared" si="0"/>
        <v>0.00176263219741481</v>
      </c>
      <c r="E22" s="209">
        <f>(C22-G22)/G22</f>
        <v>-0.866666666666667</v>
      </c>
      <c r="F22" s="210"/>
      <c r="G22" s="213">
        <v>45</v>
      </c>
    </row>
    <row r="23" s="192" customFormat="1" ht="18.95" customHeight="1" spans="1:7">
      <c r="A23" s="40" t="s">
        <v>647</v>
      </c>
      <c r="B23" s="208">
        <v>8341</v>
      </c>
      <c r="C23" s="208">
        <v>-105</v>
      </c>
      <c r="D23" s="209">
        <f t="shared" si="0"/>
        <v>-0.0125884186548375</v>
      </c>
      <c r="E23" s="209"/>
      <c r="F23" s="210"/>
      <c r="G23" s="213"/>
    </row>
    <row r="24" s="192" customFormat="1" ht="18.95" customHeight="1" spans="1:7">
      <c r="A24" s="35" t="s">
        <v>648</v>
      </c>
      <c r="B24" s="208">
        <f>SUM(B25:B27)</f>
        <v>0</v>
      </c>
      <c r="C24" s="208">
        <f>SUM(C25:C27)</f>
        <v>0</v>
      </c>
      <c r="D24" s="209"/>
      <c r="E24" s="209">
        <f>(C24-G24)/G24</f>
        <v>-1</v>
      </c>
      <c r="F24" s="210"/>
      <c r="G24" s="211">
        <f>SUM(G25:G27)</f>
        <v>480</v>
      </c>
    </row>
    <row r="25" s="192" customFormat="1" ht="18.95" customHeight="1" spans="1:7">
      <c r="A25" s="40" t="s">
        <v>649</v>
      </c>
      <c r="B25" s="208"/>
      <c r="C25" s="208"/>
      <c r="D25" s="209"/>
      <c r="E25" s="209"/>
      <c r="F25" s="210"/>
      <c r="G25" s="213"/>
    </row>
    <row r="26" s="192" customFormat="1" ht="18.95" customHeight="1" spans="1:7">
      <c r="A26" s="40" t="s">
        <v>650</v>
      </c>
      <c r="B26" s="208"/>
      <c r="C26" s="208"/>
      <c r="D26" s="209"/>
      <c r="E26" s="209"/>
      <c r="F26" s="210"/>
      <c r="G26" s="213"/>
    </row>
    <row r="27" s="192" customFormat="1" ht="18.95" customHeight="1" spans="1:7">
      <c r="A27" s="40" t="s">
        <v>651</v>
      </c>
      <c r="B27" s="208"/>
      <c r="C27" s="208"/>
      <c r="D27" s="209"/>
      <c r="E27" s="209">
        <f>(C27-G27)/G27</f>
        <v>-1</v>
      </c>
      <c r="F27" s="210"/>
      <c r="G27" s="213">
        <v>480</v>
      </c>
    </row>
    <row r="28" s="192" customFormat="1" ht="18.95" customHeight="1" spans="1:7">
      <c r="A28" s="35" t="s">
        <v>652</v>
      </c>
      <c r="B28" s="208">
        <f>SUM(B29:B31)</f>
        <v>3381</v>
      </c>
      <c r="C28" s="208">
        <f>SUM(C29:C31)</f>
        <v>1913</v>
      </c>
      <c r="D28" s="209">
        <f t="shared" si="0"/>
        <v>0.56580893226856</v>
      </c>
      <c r="E28" s="209">
        <f>(C28-G28)/G28</f>
        <v>0.281312793034159</v>
      </c>
      <c r="F28" s="210"/>
      <c r="G28" s="211">
        <f>SUM(G29:G31)</f>
        <v>1493</v>
      </c>
    </row>
    <row r="29" s="192" customFormat="1" ht="18.95" customHeight="1" spans="1:7">
      <c r="A29" s="40" t="s">
        <v>653</v>
      </c>
      <c r="B29" s="208">
        <v>2352</v>
      </c>
      <c r="C29" s="208">
        <v>2352</v>
      </c>
      <c r="D29" s="209">
        <f t="shared" si="0"/>
        <v>1</v>
      </c>
      <c r="E29" s="209"/>
      <c r="F29" s="210"/>
      <c r="G29" s="214">
        <v>1160</v>
      </c>
    </row>
    <row r="30" s="192" customFormat="1" ht="18.95" customHeight="1" spans="1:7">
      <c r="A30" s="40" t="s">
        <v>654</v>
      </c>
      <c r="B30" s="208">
        <v>-30</v>
      </c>
      <c r="C30" s="208">
        <v>-30</v>
      </c>
      <c r="D30" s="209"/>
      <c r="E30" s="209"/>
      <c r="F30" s="210"/>
      <c r="G30" s="214"/>
    </row>
    <row r="31" s="192" customFormat="1" ht="18.95" customHeight="1" spans="1:7">
      <c r="A31" s="40" t="s">
        <v>655</v>
      </c>
      <c r="B31" s="208">
        <v>1059</v>
      </c>
      <c r="C31" s="208">
        <v>-409</v>
      </c>
      <c r="D31" s="209">
        <f t="shared" si="0"/>
        <v>-0.386213408876298</v>
      </c>
      <c r="E31" s="209">
        <f>(C31-G31)/G31</f>
        <v>-2.22822822822823</v>
      </c>
      <c r="F31" s="210"/>
      <c r="G31" s="214">
        <v>333</v>
      </c>
    </row>
    <row r="32" s="192" customFormat="1" ht="18.95" customHeight="1" spans="1:7">
      <c r="A32" s="35" t="s">
        <v>656</v>
      </c>
      <c r="B32" s="208">
        <v>234</v>
      </c>
      <c r="C32" s="208">
        <v>91</v>
      </c>
      <c r="D32" s="209">
        <f t="shared" si="0"/>
        <v>0.388888888888889</v>
      </c>
      <c r="E32" s="209"/>
      <c r="F32" s="210"/>
      <c r="G32" s="213"/>
    </row>
    <row r="33" s="192" customFormat="1" ht="18.95" customHeight="1" spans="1:7">
      <c r="A33" s="35" t="s">
        <v>657</v>
      </c>
      <c r="B33" s="208">
        <f>B34</f>
        <v>28</v>
      </c>
      <c r="C33" s="208">
        <f>C34</f>
        <v>28</v>
      </c>
      <c r="D33" s="209">
        <f t="shared" si="0"/>
        <v>1</v>
      </c>
      <c r="E33" s="209"/>
      <c r="F33" s="210"/>
      <c r="G33" s="211" t="e">
        <f>G34+#REF!</f>
        <v>#REF!</v>
      </c>
    </row>
    <row r="34" s="192" customFormat="1" ht="18.95" customHeight="1" spans="1:6">
      <c r="A34" s="35" t="s">
        <v>658</v>
      </c>
      <c r="B34" s="208">
        <v>28</v>
      </c>
      <c r="C34" s="208">
        <v>28</v>
      </c>
      <c r="D34" s="209"/>
      <c r="E34" s="209"/>
      <c r="F34" s="210"/>
    </row>
    <row r="35" s="192" customFormat="1" ht="18.95" customHeight="1" spans="1:7">
      <c r="A35" s="35" t="s">
        <v>659</v>
      </c>
      <c r="B35" s="208">
        <f>B36</f>
        <v>579</v>
      </c>
      <c r="C35" s="208">
        <f>C36</f>
        <v>446</v>
      </c>
      <c r="D35" s="209">
        <f t="shared" ref="D35:D56" si="2">C35/B35</f>
        <v>0.770293609671848</v>
      </c>
      <c r="E35" s="209">
        <f t="shared" ref="E35:E48" si="3">(C35-G35)/G35</f>
        <v>0.0931372549019608</v>
      </c>
      <c r="F35" s="210"/>
      <c r="G35" s="211">
        <f>G36</f>
        <v>408</v>
      </c>
    </row>
    <row r="36" s="192" customFormat="1" ht="18.95" customHeight="1" spans="1:7">
      <c r="A36" s="40" t="s">
        <v>660</v>
      </c>
      <c r="B36" s="208">
        <v>579</v>
      </c>
      <c r="C36" s="208">
        <v>446</v>
      </c>
      <c r="D36" s="209">
        <f t="shared" si="2"/>
        <v>0.770293609671848</v>
      </c>
      <c r="E36" s="209">
        <f t="shared" si="3"/>
        <v>0.0931372549019608</v>
      </c>
      <c r="F36" s="210"/>
      <c r="G36" s="213">
        <v>408</v>
      </c>
    </row>
    <row r="37" s="192" customFormat="1" ht="18.95" customHeight="1" spans="1:7">
      <c r="A37" s="35" t="s">
        <v>95</v>
      </c>
      <c r="B37" s="208">
        <f>B38</f>
        <v>-63</v>
      </c>
      <c r="C37" s="208">
        <f>C38</f>
        <v>-63</v>
      </c>
      <c r="D37" s="209">
        <f t="shared" si="2"/>
        <v>1</v>
      </c>
      <c r="E37" s="209">
        <f t="shared" si="3"/>
        <v>-22</v>
      </c>
      <c r="F37" s="210"/>
      <c r="G37" s="211">
        <f>G38</f>
        <v>3</v>
      </c>
    </row>
    <row r="38" s="192" customFormat="1" ht="18.95" customHeight="1" spans="1:7">
      <c r="A38" s="35" t="s">
        <v>661</v>
      </c>
      <c r="B38" s="208">
        <f>B39</f>
        <v>-63</v>
      </c>
      <c r="C38" s="208">
        <f>C39</f>
        <v>-63</v>
      </c>
      <c r="D38" s="209">
        <f t="shared" si="2"/>
        <v>1</v>
      </c>
      <c r="E38" s="209">
        <f t="shared" si="3"/>
        <v>-22</v>
      </c>
      <c r="F38" s="210"/>
      <c r="G38" s="211">
        <f>G39</f>
        <v>3</v>
      </c>
    </row>
    <row r="39" s="192" customFormat="1" ht="18.95" customHeight="1" spans="1:7">
      <c r="A39" s="40" t="s">
        <v>662</v>
      </c>
      <c r="B39" s="208">
        <v>-63</v>
      </c>
      <c r="C39" s="208">
        <v>-63</v>
      </c>
      <c r="D39" s="209">
        <f t="shared" si="2"/>
        <v>1</v>
      </c>
      <c r="E39" s="209">
        <f t="shared" si="3"/>
        <v>-22</v>
      </c>
      <c r="F39" s="210"/>
      <c r="G39" s="213">
        <v>3</v>
      </c>
    </row>
    <row r="40" s="192" customFormat="1" ht="18.95" customHeight="1" spans="1:7">
      <c r="A40" s="35" t="s">
        <v>96</v>
      </c>
      <c r="B40" s="208">
        <f>B41</f>
        <v>24</v>
      </c>
      <c r="C40" s="208">
        <f>C41</f>
        <v>24</v>
      </c>
      <c r="D40" s="209"/>
      <c r="E40" s="209"/>
      <c r="F40" s="210"/>
      <c r="G40" s="211">
        <f>G41</f>
        <v>0</v>
      </c>
    </row>
    <row r="41" s="192" customFormat="1" ht="18.95" customHeight="1" spans="1:7">
      <c r="A41" s="35" t="s">
        <v>663</v>
      </c>
      <c r="B41" s="208">
        <f>B42</f>
        <v>24</v>
      </c>
      <c r="C41" s="208">
        <f>C42</f>
        <v>24</v>
      </c>
      <c r="D41" s="209"/>
      <c r="E41" s="209"/>
      <c r="F41" s="210"/>
      <c r="G41" s="211">
        <f>G42</f>
        <v>0</v>
      </c>
    </row>
    <row r="42" s="192" customFormat="1" ht="18.95" customHeight="1" spans="1:7">
      <c r="A42" s="40" t="s">
        <v>664</v>
      </c>
      <c r="B42" s="208">
        <v>24</v>
      </c>
      <c r="C42" s="208">
        <v>24</v>
      </c>
      <c r="D42" s="209"/>
      <c r="E42" s="209"/>
      <c r="F42" s="210"/>
      <c r="G42" s="213"/>
    </row>
    <row r="43" s="192" customFormat="1" ht="18.95" customHeight="1" spans="1:7">
      <c r="A43" s="35" t="s">
        <v>97</v>
      </c>
      <c r="B43" s="208">
        <f>B44+B52</f>
        <v>1304</v>
      </c>
      <c r="C43" s="208">
        <f>C44+C52</f>
        <v>1164</v>
      </c>
      <c r="D43" s="209">
        <f t="shared" si="2"/>
        <v>0.892638036809816</v>
      </c>
      <c r="E43" s="209">
        <f t="shared" si="3"/>
        <v>1.22137404580153</v>
      </c>
      <c r="F43" s="210"/>
      <c r="G43" s="211">
        <f>G44+G52</f>
        <v>524</v>
      </c>
    </row>
    <row r="44" s="192" customFormat="1" ht="18.95" customHeight="1" spans="1:7">
      <c r="A44" s="35" t="s">
        <v>665</v>
      </c>
      <c r="B44" s="208">
        <f>SUM(B45:B51)</f>
        <v>598</v>
      </c>
      <c r="C44" s="208">
        <f>SUM(C45:C51)</f>
        <v>458</v>
      </c>
      <c r="D44" s="209">
        <f t="shared" si="2"/>
        <v>0.765886287625418</v>
      </c>
      <c r="E44" s="209">
        <f t="shared" si="3"/>
        <v>-0.147113594040968</v>
      </c>
      <c r="F44" s="210"/>
      <c r="G44" s="211">
        <f>SUM(G45:G51)</f>
        <v>537</v>
      </c>
    </row>
    <row r="45" s="192" customFormat="1" ht="18.95" customHeight="1" spans="1:7">
      <c r="A45" s="215" t="s">
        <v>666</v>
      </c>
      <c r="B45" s="208">
        <v>226</v>
      </c>
      <c r="C45" s="208">
        <v>89</v>
      </c>
      <c r="D45" s="209">
        <f t="shared" si="2"/>
        <v>0.393805309734513</v>
      </c>
      <c r="E45" s="209">
        <f t="shared" si="3"/>
        <v>-0.597285067873303</v>
      </c>
      <c r="F45" s="210"/>
      <c r="G45" s="213">
        <v>221</v>
      </c>
    </row>
    <row r="46" s="192" customFormat="1" ht="18.95" customHeight="1" spans="1:7">
      <c r="A46" s="215" t="s">
        <v>667</v>
      </c>
      <c r="B46" s="208">
        <v>253</v>
      </c>
      <c r="C46" s="208">
        <v>253</v>
      </c>
      <c r="D46" s="209">
        <f t="shared" si="2"/>
        <v>1</v>
      </c>
      <c r="E46" s="209">
        <f t="shared" si="3"/>
        <v>0.961240310077519</v>
      </c>
      <c r="F46" s="210"/>
      <c r="G46" s="213">
        <v>129</v>
      </c>
    </row>
    <row r="47" s="192" customFormat="1" ht="18.95" customHeight="1" spans="1:7">
      <c r="A47" s="215" t="s">
        <v>668</v>
      </c>
      <c r="B47" s="208">
        <v>24</v>
      </c>
      <c r="C47" s="208">
        <v>24</v>
      </c>
      <c r="D47" s="209">
        <f t="shared" si="2"/>
        <v>1</v>
      </c>
      <c r="E47" s="209">
        <f t="shared" si="3"/>
        <v>-0.612903225806452</v>
      </c>
      <c r="F47" s="210"/>
      <c r="G47" s="213">
        <v>62</v>
      </c>
    </row>
    <row r="48" s="192" customFormat="1" ht="18.95" customHeight="1" spans="1:7">
      <c r="A48" s="215" t="s">
        <v>669</v>
      </c>
      <c r="B48" s="208">
        <v>43</v>
      </c>
      <c r="C48" s="208">
        <v>40</v>
      </c>
      <c r="D48" s="209">
        <f t="shared" si="2"/>
        <v>0.930232558139535</v>
      </c>
      <c r="E48" s="209">
        <f t="shared" si="3"/>
        <v>39</v>
      </c>
      <c r="F48" s="210"/>
      <c r="G48" s="213">
        <v>1</v>
      </c>
    </row>
    <row r="49" s="192" customFormat="1" ht="18.95" customHeight="1" spans="1:7">
      <c r="A49" s="215" t="s">
        <v>670</v>
      </c>
      <c r="B49" s="208"/>
      <c r="C49" s="208"/>
      <c r="D49" s="209"/>
      <c r="E49" s="209"/>
      <c r="F49" s="210"/>
      <c r="G49" s="213">
        <v>50</v>
      </c>
    </row>
    <row r="50" s="192" customFormat="1" ht="18.95" customHeight="1" spans="1:7">
      <c r="A50" s="215" t="s">
        <v>671</v>
      </c>
      <c r="B50" s="208">
        <v>53</v>
      </c>
      <c r="C50" s="208">
        <v>53</v>
      </c>
      <c r="D50" s="209">
        <f t="shared" si="2"/>
        <v>1</v>
      </c>
      <c r="E50" s="209">
        <f t="shared" ref="E50:E55" si="4">(C50-G50)/G50</f>
        <v>-0.131147540983607</v>
      </c>
      <c r="F50" s="210"/>
      <c r="G50" s="213">
        <v>61</v>
      </c>
    </row>
    <row r="51" s="192" customFormat="1" ht="18.95" customHeight="1" spans="1:7">
      <c r="A51" s="215" t="s">
        <v>672</v>
      </c>
      <c r="B51" s="208">
        <v>-1</v>
      </c>
      <c r="C51" s="208">
        <v>-1</v>
      </c>
      <c r="D51" s="209">
        <f t="shared" si="2"/>
        <v>1</v>
      </c>
      <c r="E51" s="209">
        <f t="shared" si="4"/>
        <v>-1.07692307692308</v>
      </c>
      <c r="F51" s="210"/>
      <c r="G51" s="213">
        <v>13</v>
      </c>
    </row>
    <row r="52" s="192" customFormat="1" ht="18.95" customHeight="1" spans="1:7">
      <c r="A52" s="35" t="s">
        <v>673</v>
      </c>
      <c r="B52" s="208">
        <f>SUM(B53:B53)</f>
        <v>706</v>
      </c>
      <c r="C52" s="208">
        <f>SUM(C53:C53)</f>
        <v>706</v>
      </c>
      <c r="D52" s="209">
        <f t="shared" si="2"/>
        <v>1</v>
      </c>
      <c r="E52" s="209"/>
      <c r="F52" s="210"/>
      <c r="G52" s="211">
        <v>-13</v>
      </c>
    </row>
    <row r="53" s="192" customFormat="1" ht="18.95" customHeight="1" spans="1:7">
      <c r="A53" s="40" t="s">
        <v>674</v>
      </c>
      <c r="B53" s="208">
        <v>706</v>
      </c>
      <c r="C53" s="208">
        <v>706</v>
      </c>
      <c r="D53" s="209">
        <f t="shared" si="2"/>
        <v>1</v>
      </c>
      <c r="E53" s="209"/>
      <c r="F53" s="210"/>
      <c r="G53" s="213"/>
    </row>
    <row r="54" s="192" customFormat="1" ht="18.95" customHeight="1" spans="1:7">
      <c r="A54" s="216" t="s">
        <v>98</v>
      </c>
      <c r="B54" s="208">
        <f>B55</f>
        <v>258</v>
      </c>
      <c r="C54" s="208">
        <f>C55</f>
        <v>258</v>
      </c>
      <c r="D54" s="209">
        <f t="shared" si="2"/>
        <v>1</v>
      </c>
      <c r="E54" s="209">
        <f t="shared" si="4"/>
        <v>0.731543624161074</v>
      </c>
      <c r="F54" s="210"/>
      <c r="G54" s="211">
        <f>G55</f>
        <v>149</v>
      </c>
    </row>
    <row r="55" s="192" customFormat="1" ht="18.95" customHeight="1" spans="1:7">
      <c r="A55" s="216" t="s">
        <v>675</v>
      </c>
      <c r="B55" s="208">
        <v>258</v>
      </c>
      <c r="C55" s="208">
        <v>258</v>
      </c>
      <c r="D55" s="209">
        <f t="shared" si="2"/>
        <v>1</v>
      </c>
      <c r="E55" s="209">
        <f t="shared" si="4"/>
        <v>0.731543624161074</v>
      </c>
      <c r="F55" s="210"/>
      <c r="G55" s="213">
        <v>149</v>
      </c>
    </row>
    <row r="56" s="192" customFormat="1" ht="18.95" customHeight="1" spans="1:7">
      <c r="A56" s="217" t="s">
        <v>99</v>
      </c>
      <c r="B56" s="208">
        <f>B4+B7+B13+B37+B40+B43+B54</f>
        <v>51659</v>
      </c>
      <c r="C56" s="208">
        <f>C4+C7+C13+C37+C40+C43+C54</f>
        <v>37885</v>
      </c>
      <c r="D56" s="209">
        <f t="shared" si="2"/>
        <v>0.733366886699317</v>
      </c>
      <c r="E56" s="209">
        <f t="shared" ref="E56:E61" si="5">(C56-G56)/G56</f>
        <v>1.16894715749699</v>
      </c>
      <c r="F56" s="210"/>
      <c r="G56" s="211">
        <f>G4+G7+G13+G37+G40+G43+G54</f>
        <v>17467</v>
      </c>
    </row>
    <row r="57" s="192" customFormat="1" ht="18.95" customHeight="1" spans="1:7">
      <c r="A57" s="207" t="s">
        <v>86</v>
      </c>
      <c r="B57" s="208">
        <v>743</v>
      </c>
      <c r="C57" s="208">
        <v>743</v>
      </c>
      <c r="D57" s="209"/>
      <c r="E57" s="209">
        <f t="shared" si="5"/>
        <v>0.296684118673647</v>
      </c>
      <c r="F57" s="210"/>
      <c r="G57" s="213">
        <v>573</v>
      </c>
    </row>
    <row r="58" s="192" customFormat="1" ht="18.95" customHeight="1" spans="1:7">
      <c r="A58" s="35" t="s">
        <v>100</v>
      </c>
      <c r="B58" s="208">
        <v>18637</v>
      </c>
      <c r="C58" s="208">
        <v>18637</v>
      </c>
      <c r="D58" s="209"/>
      <c r="E58" s="209">
        <f t="shared" si="5"/>
        <v>2.35378801511607</v>
      </c>
      <c r="F58" s="210"/>
      <c r="G58" s="213">
        <v>5557</v>
      </c>
    </row>
    <row r="59" s="192" customFormat="1" ht="18.95" customHeight="1" spans="1:7">
      <c r="A59" s="218" t="s">
        <v>101</v>
      </c>
      <c r="B59" s="208">
        <f>SUM(B56:B58)</f>
        <v>71039</v>
      </c>
      <c r="C59" s="208">
        <f>SUM(C56:C58)</f>
        <v>57265</v>
      </c>
      <c r="D59" s="209"/>
      <c r="E59" s="209">
        <f t="shared" si="5"/>
        <v>1.42679154129762</v>
      </c>
      <c r="F59" s="210"/>
      <c r="G59" s="211">
        <f>SUM(G56:G58)</f>
        <v>23597</v>
      </c>
    </row>
    <row r="60" s="192" customFormat="1" ht="18.95" customHeight="1" spans="1:7">
      <c r="A60" s="207" t="s">
        <v>90</v>
      </c>
      <c r="B60" s="208"/>
      <c r="C60" s="208">
        <v>13774</v>
      </c>
      <c r="D60" s="209"/>
      <c r="E60" s="209">
        <f t="shared" si="5"/>
        <v>2.95690893421431</v>
      </c>
      <c r="F60" s="210"/>
      <c r="G60" s="213">
        <v>3481</v>
      </c>
    </row>
    <row r="61" s="192" customFormat="1" ht="18.95" customHeight="1" spans="1:7">
      <c r="A61" s="207" t="s">
        <v>91</v>
      </c>
      <c r="B61" s="208"/>
      <c r="C61" s="208">
        <v>13774</v>
      </c>
      <c r="D61" s="209"/>
      <c r="E61" s="209">
        <f t="shared" si="5"/>
        <v>2.95690893421431</v>
      </c>
      <c r="F61" s="210"/>
      <c r="G61" s="213">
        <v>3481</v>
      </c>
    </row>
    <row r="62" s="192" customFormat="1" ht="18.95" customHeight="1" spans="1:6">
      <c r="A62" s="219" t="s">
        <v>676</v>
      </c>
      <c r="B62" s="220"/>
      <c r="C62" s="220"/>
      <c r="D62" s="221"/>
      <c r="E62" s="221"/>
      <c r="F62" s="221"/>
    </row>
    <row r="63" s="192" customFormat="1" spans="1:3">
      <c r="A63" s="193"/>
      <c r="B63" s="222"/>
      <c r="C63" s="222"/>
    </row>
    <row r="64" s="192" customFormat="1" spans="1:3">
      <c r="A64" s="193"/>
      <c r="B64" s="222"/>
      <c r="C64" s="222"/>
    </row>
    <row r="65" s="192" customFormat="1" spans="1:3">
      <c r="A65" s="193"/>
      <c r="B65" s="222"/>
      <c r="C65" s="222"/>
    </row>
    <row r="66" s="192" customFormat="1" spans="1:3">
      <c r="A66" s="193"/>
      <c r="B66" s="222"/>
      <c r="C66" s="222"/>
    </row>
    <row r="67" s="192" customFormat="1" spans="1:3">
      <c r="A67" s="193"/>
      <c r="B67" s="222"/>
      <c r="C67" s="222"/>
    </row>
    <row r="68" s="192" customFormat="1" spans="1:3">
      <c r="A68" s="193"/>
      <c r="B68" s="222"/>
      <c r="C68" s="222"/>
    </row>
    <row r="69" s="192" customFormat="1" spans="1:3">
      <c r="A69" s="193"/>
      <c r="B69" s="222"/>
      <c r="C69" s="222"/>
    </row>
    <row r="70" s="192" customFormat="1" spans="1:3">
      <c r="A70" s="193"/>
      <c r="B70" s="222"/>
      <c r="C70" s="222"/>
    </row>
    <row r="71" s="192" customFormat="1" spans="1:3">
      <c r="A71" s="193"/>
      <c r="B71" s="222"/>
      <c r="C71" s="222"/>
    </row>
    <row r="72" s="192" customFormat="1" spans="1:3">
      <c r="A72" s="193"/>
      <c r="B72" s="222"/>
      <c r="C72" s="222"/>
    </row>
    <row r="73" s="192" customFormat="1" spans="1:3">
      <c r="A73" s="193"/>
      <c r="B73" s="222"/>
      <c r="C73" s="222"/>
    </row>
    <row r="74" s="192" customFormat="1" spans="1:3">
      <c r="A74" s="193"/>
      <c r="B74" s="222"/>
      <c r="C74" s="222"/>
    </row>
    <row r="75" s="192" customFormat="1" spans="1:3">
      <c r="A75" s="193"/>
      <c r="B75" s="222"/>
      <c r="C75" s="222"/>
    </row>
    <row r="76" s="192" customFormat="1" spans="1:3">
      <c r="A76" s="193"/>
      <c r="B76" s="222"/>
      <c r="C76" s="222"/>
    </row>
    <row r="77" s="192" customFormat="1" spans="1:3">
      <c r="A77" s="193"/>
      <c r="B77" s="222"/>
      <c r="C77" s="222"/>
    </row>
    <row r="78" s="192" customFormat="1" spans="1:3">
      <c r="A78" s="193"/>
      <c r="B78" s="222"/>
      <c r="C78" s="222"/>
    </row>
    <row r="79" s="192" customFormat="1" spans="1:3">
      <c r="A79" s="193"/>
      <c r="B79" s="222"/>
      <c r="C79" s="222"/>
    </row>
    <row r="80" s="192" customFormat="1" spans="1:3">
      <c r="A80" s="193"/>
      <c r="B80" s="222"/>
      <c r="C80" s="222"/>
    </row>
    <row r="81" s="192" customFormat="1" spans="1:3">
      <c r="A81" s="193"/>
      <c r="B81" s="222"/>
      <c r="C81" s="222"/>
    </row>
    <row r="82" s="192" customFormat="1" spans="1:3">
      <c r="A82" s="193"/>
      <c r="B82" s="222"/>
      <c r="C82" s="222"/>
    </row>
    <row r="83" s="192" customFormat="1" spans="1:3">
      <c r="A83" s="193"/>
      <c r="B83" s="222"/>
      <c r="C83" s="222"/>
    </row>
    <row r="84" s="192" customFormat="1" spans="1:3">
      <c r="A84" s="193"/>
      <c r="B84" s="222"/>
      <c r="C84" s="222"/>
    </row>
    <row r="85" s="192" customFormat="1" spans="1:3">
      <c r="A85" s="193"/>
      <c r="B85" s="222"/>
      <c r="C85" s="222"/>
    </row>
    <row r="86" s="192" customFormat="1" spans="1:3">
      <c r="A86" s="193"/>
      <c r="B86" s="222"/>
      <c r="C86" s="222"/>
    </row>
    <row r="87" s="192" customFormat="1" spans="1:3">
      <c r="A87" s="193"/>
      <c r="B87" s="222"/>
      <c r="C87" s="222"/>
    </row>
    <row r="88" s="192" customFormat="1" spans="1:3">
      <c r="A88" s="193"/>
      <c r="B88" s="222"/>
      <c r="C88" s="222"/>
    </row>
    <row r="89" s="192" customFormat="1" spans="1:3">
      <c r="A89" s="193"/>
      <c r="B89" s="222"/>
      <c r="C89" s="222"/>
    </row>
    <row r="90" s="192" customFormat="1" spans="1:3">
      <c r="A90" s="193"/>
      <c r="B90" s="222"/>
      <c r="C90" s="222"/>
    </row>
    <row r="91" s="192" customFormat="1" spans="1:3">
      <c r="A91" s="193"/>
      <c r="B91" s="222"/>
      <c r="C91" s="222"/>
    </row>
    <row r="92" s="192" customFormat="1" spans="1:3">
      <c r="A92" s="193"/>
      <c r="B92" s="222"/>
      <c r="C92" s="222"/>
    </row>
    <row r="93" s="192" customFormat="1" spans="1:3">
      <c r="A93" s="193"/>
      <c r="B93" s="222"/>
      <c r="C93" s="222"/>
    </row>
    <row r="94" s="192" customFormat="1" spans="1:3">
      <c r="A94" s="193"/>
      <c r="B94" s="222"/>
      <c r="C94" s="222"/>
    </row>
    <row r="95" s="192" customFormat="1" spans="1:3">
      <c r="A95" s="193"/>
      <c r="B95" s="222"/>
      <c r="C95" s="222"/>
    </row>
    <row r="96" s="192" customFormat="1" spans="1:3">
      <c r="A96" s="193"/>
      <c r="B96" s="222"/>
      <c r="C96" s="222"/>
    </row>
    <row r="97" s="192" customFormat="1" spans="1:3">
      <c r="A97" s="193"/>
      <c r="B97" s="222"/>
      <c r="C97" s="222"/>
    </row>
    <row r="98" s="192" customFormat="1" spans="1:3">
      <c r="A98" s="193"/>
      <c r="B98" s="222"/>
      <c r="C98" s="222"/>
    </row>
    <row r="99" s="192" customFormat="1" spans="1:3">
      <c r="A99" s="193"/>
      <c r="B99" s="222"/>
      <c r="C99" s="222"/>
    </row>
    <row r="100" s="192" customFormat="1" spans="1:3">
      <c r="A100" s="193"/>
      <c r="B100" s="222"/>
      <c r="C100" s="222"/>
    </row>
    <row r="101" s="192" customFormat="1" spans="1:3">
      <c r="A101" s="193"/>
      <c r="B101" s="222"/>
      <c r="C101" s="222"/>
    </row>
    <row r="102" s="192" customFormat="1" spans="1:3">
      <c r="A102" s="193"/>
      <c r="B102" s="222"/>
      <c r="C102" s="222"/>
    </row>
    <row r="103" s="192" customFormat="1" spans="1:3">
      <c r="A103" s="193"/>
      <c r="B103" s="222"/>
      <c r="C103" s="222"/>
    </row>
    <row r="104" s="192" customFormat="1" spans="1:3">
      <c r="A104" s="193"/>
      <c r="B104" s="222"/>
      <c r="C104" s="222"/>
    </row>
    <row r="105" s="192" customFormat="1" spans="1:3">
      <c r="A105" s="193"/>
      <c r="B105" s="222"/>
      <c r="C105" s="222"/>
    </row>
    <row r="106" s="192" customFormat="1" spans="1:3">
      <c r="A106" s="193"/>
      <c r="B106" s="222"/>
      <c r="C106" s="222"/>
    </row>
    <row r="107" s="192" customFormat="1" spans="1:3">
      <c r="A107" s="193"/>
      <c r="B107" s="222"/>
      <c r="C107" s="222"/>
    </row>
    <row r="108" s="192" customFormat="1" spans="1:3">
      <c r="A108" s="193"/>
      <c r="B108" s="222"/>
      <c r="C108" s="222"/>
    </row>
    <row r="109" s="192" customFormat="1" spans="1:3">
      <c r="A109" s="193"/>
      <c r="B109" s="222"/>
      <c r="C109" s="222"/>
    </row>
    <row r="110" s="192" customFormat="1" spans="1:3">
      <c r="A110" s="193"/>
      <c r="B110" s="222"/>
      <c r="C110" s="222"/>
    </row>
    <row r="111" s="192" customFormat="1" spans="1:3">
      <c r="A111" s="193"/>
      <c r="B111" s="222"/>
      <c r="C111" s="222"/>
    </row>
    <row r="112" s="192" customFormat="1" spans="1:3">
      <c r="A112" s="193"/>
      <c r="B112" s="222"/>
      <c r="C112" s="222"/>
    </row>
    <row r="113" s="192" customFormat="1" spans="1:3">
      <c r="A113" s="193"/>
      <c r="B113" s="222"/>
      <c r="C113" s="222"/>
    </row>
    <row r="114" s="192" customFormat="1" spans="1:3">
      <c r="A114" s="193"/>
      <c r="B114" s="222"/>
      <c r="C114" s="222"/>
    </row>
    <row r="115" s="192" customFormat="1" spans="1:3">
      <c r="A115" s="193"/>
      <c r="B115" s="222"/>
      <c r="C115" s="222"/>
    </row>
    <row r="116" s="192" customFormat="1" spans="1:3">
      <c r="A116" s="193"/>
      <c r="B116" s="222"/>
      <c r="C116" s="222"/>
    </row>
    <row r="117" s="192" customFormat="1" spans="1:3">
      <c r="A117" s="193"/>
      <c r="B117" s="222"/>
      <c r="C117" s="222"/>
    </row>
    <row r="118" s="192" customFormat="1" spans="1:3">
      <c r="A118" s="193"/>
      <c r="B118" s="222"/>
      <c r="C118" s="222"/>
    </row>
    <row r="119" s="192" customFormat="1" spans="1:3">
      <c r="A119" s="193"/>
      <c r="B119" s="222"/>
      <c r="C119" s="222"/>
    </row>
    <row r="120" s="192" customFormat="1" spans="1:3">
      <c r="A120" s="193"/>
      <c r="B120" s="222"/>
      <c r="C120" s="222"/>
    </row>
    <row r="121" s="192" customFormat="1" spans="1:3">
      <c r="A121" s="193"/>
      <c r="B121" s="222"/>
      <c r="C121" s="222"/>
    </row>
    <row r="122" s="192" customFormat="1" spans="1:3">
      <c r="A122" s="193"/>
      <c r="B122" s="222"/>
      <c r="C122" s="222"/>
    </row>
    <row r="123" s="192" customFormat="1" spans="1:3">
      <c r="A123" s="193"/>
      <c r="B123" s="222"/>
      <c r="C123" s="222"/>
    </row>
    <row r="124" s="192" customFormat="1" spans="1:3">
      <c r="A124" s="193"/>
      <c r="B124" s="222"/>
      <c r="C124" s="222"/>
    </row>
    <row r="125" s="192" customFormat="1" spans="1:3">
      <c r="A125" s="193"/>
      <c r="B125" s="222"/>
      <c r="C125" s="222"/>
    </row>
    <row r="126" s="192" customFormat="1" spans="1:3">
      <c r="A126" s="193"/>
      <c r="B126" s="222"/>
      <c r="C126" s="222"/>
    </row>
    <row r="127" s="192" customFormat="1" spans="1:3">
      <c r="A127" s="193"/>
      <c r="B127" s="222"/>
      <c r="C127" s="222"/>
    </row>
    <row r="128" s="192" customFormat="1" spans="1:3">
      <c r="A128" s="193"/>
      <c r="B128" s="222"/>
      <c r="C128" s="222"/>
    </row>
    <row r="129" s="192" customFormat="1" spans="1:3">
      <c r="A129" s="193"/>
      <c r="B129" s="222"/>
      <c r="C129" s="222"/>
    </row>
    <row r="130" s="192" customFormat="1" spans="1:3">
      <c r="A130" s="193"/>
      <c r="B130" s="222"/>
      <c r="C130" s="222"/>
    </row>
    <row r="131" s="192" customFormat="1" spans="1:3">
      <c r="A131" s="193"/>
      <c r="B131" s="222"/>
      <c r="C131" s="222"/>
    </row>
    <row r="132" s="192" customFormat="1" spans="1:3">
      <c r="A132" s="193"/>
      <c r="B132" s="222"/>
      <c r="C132" s="222"/>
    </row>
    <row r="133" s="192" customFormat="1" spans="1:3">
      <c r="A133" s="193"/>
      <c r="B133" s="222"/>
      <c r="C133" s="222"/>
    </row>
    <row r="134" s="192" customFormat="1" spans="1:3">
      <c r="A134" s="193"/>
      <c r="B134" s="222"/>
      <c r="C134" s="222"/>
    </row>
    <row r="135" s="192" customFormat="1" spans="1:3">
      <c r="A135" s="193"/>
      <c r="B135" s="222"/>
      <c r="C135" s="222"/>
    </row>
    <row r="136" s="192" customFormat="1" spans="1:3">
      <c r="A136" s="193"/>
      <c r="B136" s="222"/>
      <c r="C136" s="222"/>
    </row>
    <row r="137" s="192" customFormat="1" spans="1:3">
      <c r="A137" s="193"/>
      <c r="B137" s="222"/>
      <c r="C137" s="222"/>
    </row>
    <row r="138" s="192" customFormat="1" spans="1:3">
      <c r="A138" s="193"/>
      <c r="B138" s="222"/>
      <c r="C138" s="222"/>
    </row>
    <row r="139" s="192" customFormat="1" spans="1:3">
      <c r="A139" s="193"/>
      <c r="B139" s="222"/>
      <c r="C139" s="222"/>
    </row>
    <row r="140" s="192" customFormat="1" spans="1:3">
      <c r="A140" s="193"/>
      <c r="B140" s="222"/>
      <c r="C140" s="222"/>
    </row>
    <row r="141" s="192" customFormat="1" spans="1:3">
      <c r="A141" s="193"/>
      <c r="B141" s="222"/>
      <c r="C141" s="222"/>
    </row>
    <row r="142" s="192" customFormat="1" spans="1:3">
      <c r="A142" s="193"/>
      <c r="B142" s="222"/>
      <c r="C142" s="222"/>
    </row>
    <row r="143" s="192" customFormat="1" spans="1:3">
      <c r="A143" s="193"/>
      <c r="B143" s="222"/>
      <c r="C143" s="222"/>
    </row>
    <row r="144" s="192" customFormat="1" spans="1:3">
      <c r="A144" s="193"/>
      <c r="B144" s="222"/>
      <c r="C144" s="222"/>
    </row>
    <row r="145" s="192" customFormat="1" spans="1:3">
      <c r="A145" s="193"/>
      <c r="B145" s="222"/>
      <c r="C145" s="222"/>
    </row>
    <row r="146" s="192" customFormat="1" spans="1:3">
      <c r="A146" s="193"/>
      <c r="B146" s="222"/>
      <c r="C146" s="222"/>
    </row>
    <row r="147" s="192" customFormat="1" spans="1:3">
      <c r="A147" s="193"/>
      <c r="B147" s="222"/>
      <c r="C147" s="222"/>
    </row>
    <row r="148" s="192" customFormat="1" spans="1:3">
      <c r="A148" s="193"/>
      <c r="B148" s="222"/>
      <c r="C148" s="222"/>
    </row>
    <row r="149" s="192" customFormat="1" spans="1:3">
      <c r="A149" s="193"/>
      <c r="B149" s="222"/>
      <c r="C149" s="222"/>
    </row>
    <row r="150" s="192" customFormat="1" spans="1:3">
      <c r="A150" s="193"/>
      <c r="B150" s="222"/>
      <c r="C150" s="222"/>
    </row>
    <row r="151" s="192" customFormat="1" spans="1:3">
      <c r="A151" s="193"/>
      <c r="B151" s="222"/>
      <c r="C151" s="222"/>
    </row>
    <row r="152" s="192" customFormat="1" spans="1:3">
      <c r="A152" s="193"/>
      <c r="B152" s="222"/>
      <c r="C152" s="222"/>
    </row>
    <row r="153" s="192" customFormat="1" spans="1:3">
      <c r="A153" s="193"/>
      <c r="B153" s="222"/>
      <c r="C153" s="222"/>
    </row>
    <row r="154" s="192" customFormat="1" spans="1:3">
      <c r="A154" s="193"/>
      <c r="B154" s="222"/>
      <c r="C154" s="222"/>
    </row>
    <row r="155" s="192" customFormat="1" spans="1:3">
      <c r="A155" s="193"/>
      <c r="B155" s="222"/>
      <c r="C155" s="222"/>
    </row>
    <row r="156" s="192" customFormat="1" spans="1:3">
      <c r="A156" s="193"/>
      <c r="B156" s="222"/>
      <c r="C156" s="222"/>
    </row>
    <row r="157" s="192" customFormat="1" spans="1:3">
      <c r="A157" s="193"/>
      <c r="B157" s="222"/>
      <c r="C157" s="222"/>
    </row>
    <row r="158" s="192" customFormat="1" spans="1:3">
      <c r="A158" s="193"/>
      <c r="B158" s="222"/>
      <c r="C158" s="222"/>
    </row>
    <row r="159" s="192" customFormat="1" spans="1:3">
      <c r="A159" s="193"/>
      <c r="B159" s="222"/>
      <c r="C159" s="222"/>
    </row>
    <row r="160" s="192" customFormat="1" spans="1:3">
      <c r="A160" s="193"/>
      <c r="B160" s="222"/>
      <c r="C160" s="222"/>
    </row>
    <row r="161" s="192" customFormat="1" spans="1:3">
      <c r="A161" s="193"/>
      <c r="B161" s="222"/>
      <c r="C161" s="222"/>
    </row>
    <row r="162" s="192" customFormat="1" spans="1:3">
      <c r="A162" s="193"/>
      <c r="B162" s="222"/>
      <c r="C162" s="222"/>
    </row>
    <row r="163" s="192" customFormat="1" spans="1:3">
      <c r="A163" s="193"/>
      <c r="B163" s="222"/>
      <c r="C163" s="222"/>
    </row>
    <row r="164" s="192" customFormat="1" spans="1:3">
      <c r="A164" s="193"/>
      <c r="B164" s="222"/>
      <c r="C164" s="222"/>
    </row>
    <row r="165" s="192" customFormat="1" spans="1:3">
      <c r="A165" s="193"/>
      <c r="B165" s="222"/>
      <c r="C165" s="222"/>
    </row>
    <row r="166" s="192" customFormat="1" spans="1:3">
      <c r="A166" s="193"/>
      <c r="B166" s="222"/>
      <c r="C166" s="222"/>
    </row>
    <row r="167" s="192" customFormat="1" spans="1:3">
      <c r="A167" s="193"/>
      <c r="B167" s="222"/>
      <c r="C167" s="222"/>
    </row>
    <row r="168" s="192" customFormat="1" spans="1:3">
      <c r="A168" s="193"/>
      <c r="B168" s="222"/>
      <c r="C168" s="222"/>
    </row>
    <row r="169" s="192" customFormat="1" spans="1:3">
      <c r="A169" s="193"/>
      <c r="B169" s="222"/>
      <c r="C169" s="222"/>
    </row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27" orientation="landscape" useFirstPageNumber="1"/>
  <headerFooter alignWithMargins="0">
    <evenFooter>&amp;C-2-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15"/>
  <sheetViews>
    <sheetView workbookViewId="0">
      <selection activeCell="A1" sqref="$A1:$XFD1048576"/>
    </sheetView>
  </sheetViews>
  <sheetFormatPr defaultColWidth="9" defaultRowHeight="14.25"/>
  <cols>
    <col min="1" max="1" width="28.375" customWidth="1"/>
    <col min="2" max="2" width="13.5" customWidth="1"/>
    <col min="3" max="4" width="9" customWidth="1"/>
    <col min="5" max="5" width="13.125" customWidth="1"/>
    <col min="6" max="6" width="9.5" customWidth="1"/>
    <col min="7" max="7" width="9" customWidth="1"/>
    <col min="8" max="8" width="13.5" customWidth="1"/>
    <col min="9" max="9" width="11.125" customWidth="1"/>
    <col min="10" max="10" width="4.625" customWidth="1"/>
    <col min="11" max="17" width="17.75" customWidth="1"/>
  </cols>
  <sheetData>
    <row r="1" ht="40.5" customHeight="1" spans="1:10">
      <c r="A1" s="4" t="s">
        <v>677</v>
      </c>
      <c r="B1" s="4"/>
      <c r="C1" s="4"/>
      <c r="D1" s="4"/>
      <c r="E1" s="4"/>
      <c r="F1" s="4"/>
      <c r="G1" s="4"/>
      <c r="H1" s="4"/>
      <c r="I1" s="4"/>
      <c r="J1" s="4"/>
    </row>
    <row r="2" ht="19.5" customHeight="1" spans="1:10">
      <c r="A2" s="20" t="s">
        <v>678</v>
      </c>
      <c r="B2" s="20"/>
      <c r="C2" s="20"/>
      <c r="D2" s="20"/>
      <c r="E2" s="21"/>
      <c r="F2" s="21"/>
      <c r="G2" s="26"/>
      <c r="H2" s="6"/>
      <c r="I2" s="26" t="s">
        <v>2</v>
      </c>
      <c r="J2" s="31"/>
    </row>
    <row r="3" s="125" customFormat="1" ht="27" customHeight="1" spans="1:10">
      <c r="A3" s="14" t="s">
        <v>679</v>
      </c>
      <c r="B3" s="14"/>
      <c r="C3" s="14" t="s">
        <v>680</v>
      </c>
      <c r="D3" s="14"/>
      <c r="E3" s="14"/>
      <c r="F3" s="14" t="s">
        <v>681</v>
      </c>
      <c r="G3" s="14"/>
      <c r="H3" s="14"/>
      <c r="I3" s="14" t="s">
        <v>682</v>
      </c>
      <c r="J3" s="14" t="s">
        <v>683</v>
      </c>
    </row>
    <row r="4" s="125" customFormat="1" ht="27" customHeight="1" spans="1:10">
      <c r="A4" s="14"/>
      <c r="B4" s="14"/>
      <c r="C4" s="14" t="s">
        <v>684</v>
      </c>
      <c r="D4" s="14" t="s">
        <v>685</v>
      </c>
      <c r="E4" s="14" t="s">
        <v>686</v>
      </c>
      <c r="F4" s="14" t="s">
        <v>684</v>
      </c>
      <c r="G4" s="14" t="s">
        <v>685</v>
      </c>
      <c r="H4" s="14" t="s">
        <v>686</v>
      </c>
      <c r="I4" s="14"/>
      <c r="J4" s="14"/>
    </row>
    <row r="5" ht="27" customHeight="1" spans="1:10">
      <c r="A5" s="23" t="s">
        <v>687</v>
      </c>
      <c r="B5" s="23" t="s">
        <v>688</v>
      </c>
      <c r="C5" s="24">
        <v>17783</v>
      </c>
      <c r="D5" s="24">
        <v>43362</v>
      </c>
      <c r="E5" s="25">
        <f>D5/C5</f>
        <v>2.43839622111005</v>
      </c>
      <c r="F5" s="24">
        <v>31067</v>
      </c>
      <c r="G5" s="24">
        <v>32399</v>
      </c>
      <c r="H5" s="25">
        <f>G5/F5</f>
        <v>1.04287507644768</v>
      </c>
      <c r="I5" s="24">
        <f>D5-G5</f>
        <v>10963</v>
      </c>
      <c r="J5" s="15"/>
    </row>
    <row r="6" ht="27" customHeight="1" spans="1:10">
      <c r="A6" s="23"/>
      <c r="B6" s="23" t="s">
        <v>689</v>
      </c>
      <c r="C6" s="24"/>
      <c r="D6" s="24"/>
      <c r="E6" s="25"/>
      <c r="F6" s="24"/>
      <c r="G6" s="24"/>
      <c r="H6" s="25"/>
      <c r="I6" s="24"/>
      <c r="J6" s="15"/>
    </row>
    <row r="7" ht="27" customHeight="1" spans="1:10">
      <c r="A7" s="23" t="s">
        <v>690</v>
      </c>
      <c r="B7" s="23"/>
      <c r="C7" s="24">
        <v>95953</v>
      </c>
      <c r="D7" s="24">
        <v>72825</v>
      </c>
      <c r="E7" s="25">
        <f>D7/C7</f>
        <v>0.758965326774567</v>
      </c>
      <c r="F7" s="24">
        <v>73955</v>
      </c>
      <c r="G7" s="24">
        <v>75972</v>
      </c>
      <c r="H7" s="25">
        <f>G7/F7</f>
        <v>1.0272733418971</v>
      </c>
      <c r="I7" s="24">
        <f>D7-G7</f>
        <v>-3147</v>
      </c>
      <c r="J7" s="15"/>
    </row>
    <row r="8" ht="27" customHeight="1" spans="1:10">
      <c r="A8" s="23" t="s">
        <v>691</v>
      </c>
      <c r="B8" s="23"/>
      <c r="C8" s="24">
        <v>9661</v>
      </c>
      <c r="D8" s="24">
        <v>9758</v>
      </c>
      <c r="E8" s="25">
        <f>D8/C8</f>
        <v>1.01004036849187</v>
      </c>
      <c r="F8" s="24">
        <v>6756</v>
      </c>
      <c r="G8" s="24">
        <v>6539</v>
      </c>
      <c r="H8" s="25">
        <f>G8/F8</f>
        <v>0.967880402605092</v>
      </c>
      <c r="I8" s="24">
        <f>D8-G8</f>
        <v>3219</v>
      </c>
      <c r="J8" s="15"/>
    </row>
    <row r="9" ht="27" customHeight="1" spans="1:10">
      <c r="A9" s="23" t="s">
        <v>692</v>
      </c>
      <c r="B9" s="23"/>
      <c r="C9" s="24"/>
      <c r="D9" s="24"/>
      <c r="E9" s="25"/>
      <c r="F9" s="24"/>
      <c r="G9" s="24"/>
      <c r="H9" s="25"/>
      <c r="I9" s="24"/>
      <c r="J9" s="15"/>
    </row>
    <row r="10" ht="27" customHeight="1" spans="1:10">
      <c r="A10" s="23" t="s">
        <v>693</v>
      </c>
      <c r="B10" s="23"/>
      <c r="C10" s="24">
        <v>18542</v>
      </c>
      <c r="D10" s="24"/>
      <c r="E10" s="25"/>
      <c r="F10" s="24">
        <v>17568</v>
      </c>
      <c r="G10" s="24"/>
      <c r="H10" s="25"/>
      <c r="I10" s="24"/>
      <c r="J10" s="15"/>
    </row>
    <row r="11" ht="27" customHeight="1" spans="1:10">
      <c r="A11" s="23" t="s">
        <v>694</v>
      </c>
      <c r="B11" s="23"/>
      <c r="C11" s="24"/>
      <c r="D11" s="24"/>
      <c r="E11" s="25"/>
      <c r="F11" s="24"/>
      <c r="G11" s="24"/>
      <c r="H11" s="25"/>
      <c r="I11" s="24"/>
      <c r="J11" s="15"/>
    </row>
    <row r="12" ht="27" customHeight="1" spans="1:10">
      <c r="A12" s="23" t="s">
        <v>695</v>
      </c>
      <c r="B12" s="23"/>
      <c r="C12" s="24"/>
      <c r="D12" s="24"/>
      <c r="E12" s="25"/>
      <c r="F12" s="24"/>
      <c r="G12" s="24"/>
      <c r="H12" s="25"/>
      <c r="I12" s="24"/>
      <c r="J12" s="15"/>
    </row>
    <row r="13" ht="27" customHeight="1" spans="1:10">
      <c r="A13" s="23" t="s">
        <v>696</v>
      </c>
      <c r="B13" s="23"/>
      <c r="C13" s="24"/>
      <c r="D13" s="24"/>
      <c r="E13" s="25"/>
      <c r="F13" s="24"/>
      <c r="G13" s="24"/>
      <c r="H13" s="25"/>
      <c r="I13" s="24"/>
      <c r="J13" s="15"/>
    </row>
    <row r="14" ht="27" customHeight="1" spans="1:10">
      <c r="A14" s="23" t="s">
        <v>697</v>
      </c>
      <c r="B14" s="23"/>
      <c r="C14" s="24"/>
      <c r="D14" s="24"/>
      <c r="E14" s="25"/>
      <c r="F14" s="24"/>
      <c r="G14" s="24"/>
      <c r="H14" s="25"/>
      <c r="I14" s="24"/>
      <c r="J14" s="15"/>
    </row>
    <row r="15" ht="27" customHeight="1" spans="1:10">
      <c r="A15" s="8" t="s">
        <v>698</v>
      </c>
      <c r="B15" s="8"/>
      <c r="C15" s="24">
        <f>SUM(C5:C14)</f>
        <v>141939</v>
      </c>
      <c r="D15" s="24">
        <f>SUM(D5:D14)</f>
        <v>125945</v>
      </c>
      <c r="E15" s="25">
        <f>D15/C15</f>
        <v>0.887317791445621</v>
      </c>
      <c r="F15" s="24">
        <f>SUM(F5:F14)</f>
        <v>129346</v>
      </c>
      <c r="G15" s="24">
        <f>SUM(G5:G14)</f>
        <v>114910</v>
      </c>
      <c r="H15" s="25">
        <f>G15/F15</f>
        <v>0.888392373942758</v>
      </c>
      <c r="I15" s="24">
        <f>SUM(I5:I14)</f>
        <v>11035</v>
      </c>
      <c r="J15" s="15"/>
    </row>
  </sheetData>
  <mergeCells count="16">
    <mergeCell ref="A1:J1"/>
    <mergeCell ref="C3:E3"/>
    <mergeCell ref="F3:H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5:A6"/>
    <mergeCell ref="I3:I4"/>
    <mergeCell ref="J3:J4"/>
    <mergeCell ref="A3:B4"/>
  </mergeCells>
  <printOptions horizontalCentered="1"/>
  <pageMargins left="0.786805555555556" right="0.786805555555556" top="0.786805555555556" bottom="0.707638888888889" header="0" footer="0"/>
  <pageSetup paperSize="9" firstPageNumber="30" orientation="landscape" useFirstPageNumber="1"/>
  <headerFooter alignWithMargins="0">
    <evenFooter>&amp;C-2-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$A1:$XFD1048576"/>
    </sheetView>
  </sheetViews>
  <sheetFormatPr defaultColWidth="9" defaultRowHeight="14.25" outlineLevelCol="5"/>
  <cols>
    <col min="1" max="1" width="30" customWidth="1"/>
    <col min="2" max="2" width="13.5" customWidth="1"/>
    <col min="3" max="3" width="13" customWidth="1"/>
    <col min="4" max="4" width="14.5" customWidth="1"/>
    <col min="5" max="5" width="21.625"/>
    <col min="6" max="6" width="25.75" customWidth="1"/>
  </cols>
  <sheetData>
    <row r="1" ht="36.75" customHeight="1" spans="1:6">
      <c r="A1" s="4" t="s">
        <v>699</v>
      </c>
      <c r="B1" s="4"/>
      <c r="C1" s="4"/>
      <c r="D1" s="4"/>
      <c r="E1" s="4"/>
      <c r="F1" s="4"/>
    </row>
    <row r="2" ht="25.5" customHeight="1" spans="1:6">
      <c r="A2" s="6" t="s">
        <v>700</v>
      </c>
      <c r="B2" s="6"/>
      <c r="C2" s="6"/>
      <c r="D2" s="6"/>
      <c r="E2" s="6"/>
      <c r="F2" s="189" t="s">
        <v>2</v>
      </c>
    </row>
    <row r="3" s="16" customFormat="1" ht="19.5" customHeight="1" spans="1:6">
      <c r="A3" s="8" t="s">
        <v>701</v>
      </c>
      <c r="B3" s="8" t="s">
        <v>702</v>
      </c>
      <c r="C3" s="8" t="s">
        <v>108</v>
      </c>
      <c r="D3" s="8" t="s">
        <v>703</v>
      </c>
      <c r="E3" s="8" t="s">
        <v>704</v>
      </c>
      <c r="F3" s="8" t="s">
        <v>683</v>
      </c>
    </row>
    <row r="4" ht="19.5" customHeight="1" spans="1:6">
      <c r="A4" s="8" t="s">
        <v>705</v>
      </c>
      <c r="B4" s="15"/>
      <c r="C4" s="15"/>
      <c r="D4" s="15"/>
      <c r="E4" s="15"/>
      <c r="F4" s="15"/>
    </row>
    <row r="5" ht="19.5" customHeight="1" spans="1:6">
      <c r="A5" s="15" t="s">
        <v>706</v>
      </c>
      <c r="B5" s="15"/>
      <c r="C5" s="15"/>
      <c r="D5" s="15"/>
      <c r="E5" s="15"/>
      <c r="F5" s="15"/>
    </row>
    <row r="6" ht="19.5" customHeight="1" spans="1:6">
      <c r="A6" s="15" t="s">
        <v>707</v>
      </c>
      <c r="B6" s="15"/>
      <c r="C6" s="15"/>
      <c r="D6" s="15"/>
      <c r="E6" s="15"/>
      <c r="F6" s="15"/>
    </row>
    <row r="7" ht="19.5" customHeight="1" spans="1:6">
      <c r="A7" s="15" t="s">
        <v>708</v>
      </c>
      <c r="B7" s="15"/>
      <c r="C7" s="15"/>
      <c r="D7" s="15"/>
      <c r="E7" s="15"/>
      <c r="F7" s="15"/>
    </row>
    <row r="8" ht="19.5" customHeight="1" spans="1:6">
      <c r="A8" s="15" t="s">
        <v>709</v>
      </c>
      <c r="B8" s="15"/>
      <c r="C8" s="15"/>
      <c r="D8" s="15"/>
      <c r="E8" s="15"/>
      <c r="F8" s="15"/>
    </row>
    <row r="9" ht="19.5" customHeight="1" spans="1:6">
      <c r="A9" s="15" t="s">
        <v>710</v>
      </c>
      <c r="B9" s="15"/>
      <c r="C9" s="15"/>
      <c r="D9" s="15"/>
      <c r="E9" s="15"/>
      <c r="F9" s="15"/>
    </row>
    <row r="10" ht="19.5" customHeight="1" spans="1:6">
      <c r="A10" s="8" t="s">
        <v>711</v>
      </c>
      <c r="B10" s="15"/>
      <c r="C10" s="15"/>
      <c r="D10" s="15"/>
      <c r="E10" s="15"/>
      <c r="F10" s="15"/>
    </row>
    <row r="11" ht="19.5" customHeight="1" spans="1:6">
      <c r="A11" s="15" t="s">
        <v>712</v>
      </c>
      <c r="B11" s="15"/>
      <c r="C11" s="15"/>
      <c r="D11" s="15"/>
      <c r="E11" s="15"/>
      <c r="F11" s="15"/>
    </row>
    <row r="12" ht="19.5" customHeight="1" spans="1:6">
      <c r="A12" s="15" t="s">
        <v>713</v>
      </c>
      <c r="B12" s="15"/>
      <c r="C12" s="15"/>
      <c r="D12" s="15"/>
      <c r="E12" s="15"/>
      <c r="F12" s="15"/>
    </row>
    <row r="13" ht="19.5" customHeight="1" spans="1:6">
      <c r="A13" s="15" t="s">
        <v>714</v>
      </c>
      <c r="B13" s="15"/>
      <c r="C13" s="15"/>
      <c r="D13" s="15"/>
      <c r="E13" s="15"/>
      <c r="F13" s="15"/>
    </row>
    <row r="14" ht="19.5" customHeight="1" spans="1:6">
      <c r="A14" s="15" t="s">
        <v>715</v>
      </c>
      <c r="B14" s="15"/>
      <c r="C14" s="15"/>
      <c r="D14" s="15"/>
      <c r="E14" s="15"/>
      <c r="F14" s="15"/>
    </row>
    <row r="15" ht="19.5" customHeight="1" spans="1:6">
      <c r="A15" s="15" t="s">
        <v>716</v>
      </c>
      <c r="B15" s="15"/>
      <c r="C15" s="15"/>
      <c r="D15" s="15"/>
      <c r="E15" s="15"/>
      <c r="F15" s="15"/>
    </row>
    <row r="16" ht="19.5" customHeight="1" spans="1:6">
      <c r="A16" s="15" t="s">
        <v>717</v>
      </c>
      <c r="B16" s="15"/>
      <c r="C16" s="15"/>
      <c r="D16" s="15"/>
      <c r="E16" s="15"/>
      <c r="F16" s="15"/>
    </row>
    <row r="17" ht="19.5" customHeight="1" spans="1:6">
      <c r="A17" s="15" t="s">
        <v>718</v>
      </c>
      <c r="B17" s="15"/>
      <c r="C17" s="15"/>
      <c r="D17" s="15"/>
      <c r="E17" s="15"/>
      <c r="F17" s="15"/>
    </row>
    <row r="18" ht="19.5" customHeight="1" spans="1:6">
      <c r="A18" s="15" t="s">
        <v>719</v>
      </c>
      <c r="B18" s="15"/>
      <c r="C18" s="15"/>
      <c r="D18" s="15"/>
      <c r="E18" s="15"/>
      <c r="F18" s="15"/>
    </row>
    <row r="19" ht="19.5" customHeight="1" spans="1:6">
      <c r="A19" s="15" t="s">
        <v>720</v>
      </c>
      <c r="B19" s="15"/>
      <c r="C19" s="15"/>
      <c r="D19" s="15"/>
      <c r="E19" s="15"/>
      <c r="F19" s="15"/>
    </row>
    <row r="20" ht="19.5" customHeight="1" spans="1:6">
      <c r="A20" s="15" t="s">
        <v>721</v>
      </c>
      <c r="B20" s="15"/>
      <c r="C20" s="15"/>
      <c r="D20" s="15"/>
      <c r="E20" s="15"/>
      <c r="F20" s="15"/>
    </row>
    <row r="21" ht="19.5" customHeight="1" spans="1:6">
      <c r="A21" s="15" t="s">
        <v>722</v>
      </c>
      <c r="B21" s="15"/>
      <c r="C21" s="15"/>
      <c r="D21" s="15"/>
      <c r="E21" s="15"/>
      <c r="F21" s="15"/>
    </row>
    <row r="22" ht="22.5" customHeight="1"/>
    <row r="23" ht="22.5" customHeight="1"/>
    <row r="24" ht="22.5" customHeight="1"/>
  </sheetData>
  <mergeCells count="1">
    <mergeCell ref="A1:F1"/>
  </mergeCells>
  <printOptions horizontalCentered="1"/>
  <pageMargins left="0.786805555555556" right="0.786805555555556" top="0.786805555555556" bottom="0.707638888888889" header="0" footer="0"/>
  <pageSetup paperSize="9" firstPageNumber="31" orientation="landscape" useFirstPageNumber="1"/>
  <headerFooter alignWithMargins="0">
    <evenFooter>&amp;C-2-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66"/>
  <sheetViews>
    <sheetView workbookViewId="0">
      <selection activeCell="A1" sqref="$A1:$XFD1048576"/>
    </sheetView>
  </sheetViews>
  <sheetFormatPr defaultColWidth="6.875" defaultRowHeight="14.25"/>
  <cols>
    <col min="1" max="1" width="44.375" style="166" customWidth="1"/>
    <col min="2" max="2" width="32.125" style="167" customWidth="1"/>
    <col min="3" max="4" width="6.75" style="168" customWidth="1"/>
    <col min="5" max="5" width="30" style="168" customWidth="1"/>
    <col min="6" max="6" width="19.125" style="168" customWidth="1"/>
    <col min="7" max="209" width="6.75" style="168" customWidth="1"/>
    <col min="210" max="210" width="6.75" style="169" customWidth="1"/>
    <col min="211" max="225" width="6.875" style="170" customWidth="1"/>
    <col min="226" max="16384" width="6.875" style="171"/>
  </cols>
  <sheetData>
    <row r="1" s="164" customFormat="1" ht="41.25" customHeight="1" spans="1:4">
      <c r="A1" s="172" t="s">
        <v>723</v>
      </c>
      <c r="B1" s="173"/>
      <c r="C1" s="174"/>
      <c r="D1" s="174"/>
    </row>
    <row r="2" ht="17.25" customHeight="1" spans="1:2">
      <c r="A2" s="175" t="s">
        <v>724</v>
      </c>
      <c r="B2" s="145" t="s">
        <v>2</v>
      </c>
    </row>
    <row r="3" ht="19.5" customHeight="1" spans="1:225">
      <c r="A3" s="176" t="s">
        <v>725</v>
      </c>
      <c r="B3" s="177" t="s">
        <v>726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84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</row>
    <row r="4" s="165" customFormat="1" ht="19.5" customHeight="1" spans="1:225">
      <c r="A4" s="179" t="s">
        <v>727</v>
      </c>
      <c r="B4" s="180">
        <f>SUM(B5+B15+B42+B56+B60)</f>
        <v>161615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6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</row>
    <row r="5" s="165" customFormat="1" ht="19.5" customHeight="1" spans="1:225">
      <c r="A5" s="182" t="s">
        <v>728</v>
      </c>
      <c r="B5" s="180">
        <v>123186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6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</row>
    <row r="6" s="165" customFormat="1" ht="19.5" customHeight="1" spans="1:225">
      <c r="A6" s="182" t="s">
        <v>729</v>
      </c>
      <c r="B6" s="180">
        <v>53283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6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</row>
    <row r="7" s="165" customFormat="1" ht="19.5" customHeight="1" spans="1:225">
      <c r="A7" s="183" t="s">
        <v>730</v>
      </c>
      <c r="B7" s="180">
        <v>11840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6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</row>
    <row r="8" s="165" customFormat="1" ht="19.5" customHeight="1" spans="1:225">
      <c r="A8" s="182" t="s">
        <v>731</v>
      </c>
      <c r="B8" s="180">
        <v>2596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6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</row>
    <row r="9" s="165" customFormat="1" ht="19.5" customHeight="1" spans="1:225">
      <c r="A9" s="182" t="s">
        <v>732</v>
      </c>
      <c r="B9" s="180">
        <v>5606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6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</row>
    <row r="10" s="165" customFormat="1" ht="19.5" customHeight="1" spans="1:225">
      <c r="A10" s="182" t="s">
        <v>733</v>
      </c>
      <c r="B10" s="180">
        <v>103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6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</row>
    <row r="11" s="165" customFormat="1" ht="19.5" customHeight="1" spans="1:225">
      <c r="A11" s="182" t="s">
        <v>734</v>
      </c>
      <c r="B11" s="180">
        <v>27491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6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</row>
    <row r="12" s="165" customFormat="1" ht="19.5" customHeight="1" spans="1:225">
      <c r="A12" s="182" t="s">
        <v>735</v>
      </c>
      <c r="B12" s="180">
        <v>18695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6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</row>
    <row r="13" s="165" customFormat="1" ht="19.5" customHeight="1" spans="1:225">
      <c r="A13" s="182" t="s">
        <v>736</v>
      </c>
      <c r="B13" s="180">
        <v>148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6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</row>
    <row r="14" s="165" customFormat="1" ht="19.5" customHeight="1" spans="1:225">
      <c r="A14" s="182" t="s">
        <v>737</v>
      </c>
      <c r="B14" s="180">
        <v>3424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6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</row>
    <row r="15" ht="19.5" customHeight="1" spans="1:225">
      <c r="A15" s="182" t="s">
        <v>738</v>
      </c>
      <c r="B15" s="180">
        <v>16666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84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</row>
    <row r="16" ht="19.5" customHeight="1" spans="1:225">
      <c r="A16" s="182" t="s">
        <v>739</v>
      </c>
      <c r="B16" s="180">
        <v>2120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84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</row>
    <row r="17" ht="19.5" customHeight="1" spans="1:225">
      <c r="A17" s="182" t="s">
        <v>740</v>
      </c>
      <c r="B17" s="180">
        <v>729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84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</row>
    <row r="18" ht="19.5" customHeight="1" spans="1:225">
      <c r="A18" s="182" t="s">
        <v>741</v>
      </c>
      <c r="B18" s="180">
        <v>37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84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</row>
    <row r="19" ht="19.5" customHeight="1" spans="1:225">
      <c r="A19" s="182" t="s">
        <v>742</v>
      </c>
      <c r="B19" s="180">
        <v>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84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</row>
    <row r="20" ht="19.5" customHeight="1" spans="1:225">
      <c r="A20" s="182" t="s">
        <v>743</v>
      </c>
      <c r="B20" s="180">
        <v>138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84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</row>
    <row r="21" ht="19.5" customHeight="1" spans="1:225">
      <c r="A21" s="182" t="s">
        <v>744</v>
      </c>
      <c r="B21" s="180">
        <v>416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84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</row>
    <row r="22" ht="19.5" customHeight="1" spans="1:225">
      <c r="A22" s="182" t="s">
        <v>745</v>
      </c>
      <c r="B22" s="180">
        <v>154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84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</row>
    <row r="23" ht="19.5" customHeight="1" spans="1:225">
      <c r="A23" s="182" t="s">
        <v>746</v>
      </c>
      <c r="B23" s="180">
        <v>1337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84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</row>
    <row r="24" ht="19.5" customHeight="1" spans="1:225">
      <c r="A24" s="182" t="s">
        <v>747</v>
      </c>
      <c r="B24" s="180">
        <v>77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84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</row>
    <row r="25" ht="19.5" customHeight="1" spans="1:225">
      <c r="A25" s="182" t="s">
        <v>748</v>
      </c>
      <c r="B25" s="180">
        <v>298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84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</row>
    <row r="26" ht="19.5" customHeight="1" spans="1:225">
      <c r="A26" s="182" t="s">
        <v>749</v>
      </c>
      <c r="B26" s="180">
        <v>1482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84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</row>
    <row r="27" ht="19.5" customHeight="1" spans="1:225">
      <c r="A27" s="182" t="s">
        <v>750</v>
      </c>
      <c r="B27" s="180">
        <v>444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84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</row>
    <row r="28" ht="19.5" customHeight="1" spans="1:225">
      <c r="A28" s="182" t="s">
        <v>751</v>
      </c>
      <c r="B28" s="180">
        <v>109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84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</row>
    <row r="29" ht="19.5" customHeight="1" spans="1:225">
      <c r="A29" s="182" t="s">
        <v>752</v>
      </c>
      <c r="B29" s="180">
        <v>292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84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</row>
    <row r="30" ht="19.5" customHeight="1" spans="1:225">
      <c r="A30" s="182" t="s">
        <v>753</v>
      </c>
      <c r="B30" s="180">
        <v>312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84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</row>
    <row r="31" ht="19.5" customHeight="1" spans="1:225">
      <c r="A31" s="182" t="s">
        <v>754</v>
      </c>
      <c r="B31" s="180">
        <v>968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84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</row>
    <row r="32" ht="19.5" customHeight="1" spans="1:225">
      <c r="A32" s="182" t="s">
        <v>755</v>
      </c>
      <c r="B32" s="180">
        <v>21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84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</row>
    <row r="33" ht="19.5" customHeight="1" spans="1:225">
      <c r="A33" s="182" t="s">
        <v>756</v>
      </c>
      <c r="B33" s="180">
        <v>85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84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</row>
    <row r="34" ht="19.5" customHeight="1" spans="1:225">
      <c r="A34" s="182" t="s">
        <v>757</v>
      </c>
      <c r="B34" s="180">
        <v>2998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84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</row>
    <row r="35" ht="19.5" customHeight="1" spans="1:225">
      <c r="A35" s="182" t="s">
        <v>758</v>
      </c>
      <c r="B35" s="180">
        <v>400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84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</row>
    <row r="36" ht="19.5" customHeight="1" spans="1:225">
      <c r="A36" s="182" t="s">
        <v>759</v>
      </c>
      <c r="B36" s="180">
        <v>587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84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</row>
    <row r="37" ht="19.5" customHeight="1" spans="1:225">
      <c r="A37" s="182" t="s">
        <v>760</v>
      </c>
      <c r="B37" s="180">
        <v>185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84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</row>
    <row r="38" ht="19.5" customHeight="1" spans="1:225">
      <c r="A38" s="182" t="s">
        <v>761</v>
      </c>
      <c r="B38" s="180">
        <v>1117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84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</row>
    <row r="39" ht="19.5" customHeight="1" spans="1:225">
      <c r="A39" s="182" t="s">
        <v>762</v>
      </c>
      <c r="B39" s="180">
        <v>1207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84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</row>
    <row r="40" ht="19.5" customHeight="1" spans="1:225">
      <c r="A40" s="182" t="s">
        <v>763</v>
      </c>
      <c r="B40" s="180">
        <v>26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84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</row>
    <row r="41" ht="19.5" customHeight="1" spans="1:225">
      <c r="A41" s="182" t="s">
        <v>764</v>
      </c>
      <c r="B41" s="180">
        <v>1125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84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</row>
    <row r="42" ht="19.5" customHeight="1" spans="1:225">
      <c r="A42" s="182" t="s">
        <v>765</v>
      </c>
      <c r="B42" s="180">
        <v>19595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84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</row>
    <row r="43" ht="19.5" customHeight="1" spans="1:225">
      <c r="A43" s="182" t="s">
        <v>766</v>
      </c>
      <c r="B43" s="180">
        <v>1560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84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</row>
    <row r="44" ht="19.5" customHeight="1" spans="1:225">
      <c r="A44" s="182" t="s">
        <v>767</v>
      </c>
      <c r="B44" s="180">
        <v>55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8"/>
      <c r="GP44" s="178"/>
      <c r="GQ44" s="178"/>
      <c r="GR44" s="178"/>
      <c r="GS44" s="178"/>
      <c r="GT44" s="178"/>
      <c r="GU44" s="178"/>
      <c r="GV44" s="178"/>
      <c r="GW44" s="178"/>
      <c r="GX44" s="178"/>
      <c r="GY44" s="178"/>
      <c r="GZ44" s="178"/>
      <c r="HA44" s="178"/>
      <c r="HB44" s="184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</row>
    <row r="45" ht="19.5" customHeight="1" spans="1:225">
      <c r="A45" s="182" t="s">
        <v>768</v>
      </c>
      <c r="B45" s="180">
        <v>137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84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</row>
    <row r="46" ht="19.5" customHeight="1" spans="1:225">
      <c r="A46" s="182" t="s">
        <v>769</v>
      </c>
      <c r="B46" s="180">
        <v>2505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84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</row>
    <row r="47" ht="19.5" customHeight="1" spans="1:225">
      <c r="A47" s="182" t="s">
        <v>770</v>
      </c>
      <c r="B47" s="180">
        <v>48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84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</row>
    <row r="48" ht="19.5" customHeight="1" spans="1:225">
      <c r="A48" s="182" t="s">
        <v>771</v>
      </c>
      <c r="B48" s="180">
        <v>2305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84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</row>
    <row r="49" ht="19.5" customHeight="1" spans="1:225">
      <c r="A49" s="182" t="s">
        <v>772</v>
      </c>
      <c r="B49" s="180">
        <v>880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84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</row>
    <row r="50" ht="19.5" customHeight="1" spans="1:225">
      <c r="A50" s="182" t="s">
        <v>773</v>
      </c>
      <c r="B50" s="180">
        <v>165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84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</row>
    <row r="51" ht="19.5" customHeight="1" spans="1:225">
      <c r="A51" s="182" t="s">
        <v>774</v>
      </c>
      <c r="B51" s="180">
        <v>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84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</row>
    <row r="52" ht="19.5" customHeight="1" spans="1:225">
      <c r="A52" s="182" t="s">
        <v>775</v>
      </c>
      <c r="B52" s="180">
        <v>7047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84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</row>
    <row r="53" ht="19.5" customHeight="1" spans="1:225">
      <c r="A53" s="182" t="s">
        <v>776</v>
      </c>
      <c r="B53" s="180">
        <v>2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84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</row>
    <row r="54" ht="19.5" customHeight="1" spans="1:225">
      <c r="A54" s="182" t="s">
        <v>777</v>
      </c>
      <c r="B54" s="180">
        <v>4300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84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</row>
    <row r="55" ht="19.5" customHeight="1" spans="1:225">
      <c r="A55" s="182" t="s">
        <v>778</v>
      </c>
      <c r="B55" s="180">
        <v>590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84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</row>
    <row r="56" ht="19.5" customHeight="1" spans="1:225">
      <c r="A56" s="182" t="s">
        <v>779</v>
      </c>
      <c r="B56" s="180">
        <v>982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84"/>
      <c r="HC56" s="185"/>
      <c r="HD56" s="185"/>
      <c r="HE56" s="185"/>
      <c r="HF56" s="185"/>
      <c r="HG56" s="185"/>
      <c r="HH56" s="185"/>
      <c r="HI56" s="185"/>
      <c r="HJ56" s="185"/>
      <c r="HK56" s="185"/>
      <c r="HL56" s="185"/>
      <c r="HM56" s="185"/>
      <c r="HN56" s="185"/>
      <c r="HO56" s="185"/>
      <c r="HP56" s="185"/>
      <c r="HQ56" s="185"/>
    </row>
    <row r="57" ht="19.5" customHeight="1" spans="1:225">
      <c r="A57" s="182" t="s">
        <v>780</v>
      </c>
      <c r="B57" s="180">
        <v>448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84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</row>
    <row r="58" ht="19.5" customHeight="1" spans="1:225">
      <c r="A58" s="182" t="s">
        <v>781</v>
      </c>
      <c r="B58" s="180">
        <v>45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84"/>
      <c r="HC58" s="185"/>
      <c r="HD58" s="185"/>
      <c r="HE58" s="185"/>
      <c r="HF58" s="185"/>
      <c r="HG58" s="185"/>
      <c r="HH58" s="185"/>
      <c r="HI58" s="185"/>
      <c r="HJ58" s="185"/>
      <c r="HK58" s="185"/>
      <c r="HL58" s="185"/>
      <c r="HM58" s="185"/>
      <c r="HN58" s="185"/>
      <c r="HO58" s="185"/>
      <c r="HP58" s="185"/>
      <c r="HQ58" s="185"/>
    </row>
    <row r="59" ht="19.5" customHeight="1" spans="1:225">
      <c r="A59" s="182" t="s">
        <v>782</v>
      </c>
      <c r="B59" s="180">
        <v>489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84"/>
      <c r="HC59" s="185"/>
      <c r="HD59" s="185"/>
      <c r="HE59" s="185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</row>
    <row r="60" ht="19.5" customHeight="1" spans="1:225">
      <c r="A60" s="182" t="s">
        <v>783</v>
      </c>
      <c r="B60" s="180">
        <v>1186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84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</row>
    <row r="61" ht="19.5" customHeight="1" spans="1:225">
      <c r="A61" s="182" t="s">
        <v>784</v>
      </c>
      <c r="B61" s="180">
        <v>584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84"/>
      <c r="HC61" s="185"/>
      <c r="HD61" s="185"/>
      <c r="HE61" s="185"/>
      <c r="HF61" s="185"/>
      <c r="HG61" s="185"/>
      <c r="HH61" s="185"/>
      <c r="HI61" s="185"/>
      <c r="HJ61" s="185"/>
      <c r="HK61" s="185"/>
      <c r="HL61" s="185"/>
      <c r="HM61" s="185"/>
      <c r="HN61" s="185"/>
      <c r="HO61" s="185"/>
      <c r="HP61" s="185"/>
      <c r="HQ61" s="185"/>
    </row>
    <row r="62" ht="19.5" customHeight="1" spans="1:225">
      <c r="A62" s="182" t="s">
        <v>785</v>
      </c>
      <c r="B62" s="180">
        <v>173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84"/>
      <c r="HC62" s="185"/>
      <c r="HD62" s="185"/>
      <c r="HE62" s="185"/>
      <c r="HF62" s="185"/>
      <c r="HG62" s="185"/>
      <c r="HH62" s="185"/>
      <c r="HI62" s="185"/>
      <c r="HJ62" s="185"/>
      <c r="HK62" s="185"/>
      <c r="HL62" s="185"/>
      <c r="HM62" s="185"/>
      <c r="HN62" s="185"/>
      <c r="HO62" s="185"/>
      <c r="HP62" s="185"/>
      <c r="HQ62" s="185"/>
    </row>
    <row r="63" ht="19.5" customHeight="1" spans="1:225">
      <c r="A63" s="182" t="s">
        <v>786</v>
      </c>
      <c r="B63" s="180">
        <v>321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84"/>
      <c r="HC63" s="185"/>
      <c r="HD63" s="185"/>
      <c r="HE63" s="185"/>
      <c r="HF63" s="185"/>
      <c r="HG63" s="185"/>
      <c r="HH63" s="185"/>
      <c r="HI63" s="185"/>
      <c r="HJ63" s="185"/>
      <c r="HK63" s="185"/>
      <c r="HL63" s="185"/>
      <c r="HM63" s="185"/>
      <c r="HN63" s="185"/>
      <c r="HO63" s="185"/>
      <c r="HP63" s="185"/>
      <c r="HQ63" s="185"/>
    </row>
    <row r="64" ht="19.5" customHeight="1" spans="1:225">
      <c r="A64" s="182" t="s">
        <v>787</v>
      </c>
      <c r="B64" s="180">
        <v>96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84"/>
      <c r="HC64" s="185"/>
      <c r="HD64" s="185"/>
      <c r="HE64" s="185"/>
      <c r="HF64" s="185"/>
      <c r="HG64" s="185"/>
      <c r="HH64" s="185"/>
      <c r="HI64" s="185"/>
      <c r="HJ64" s="185"/>
      <c r="HK64" s="185"/>
      <c r="HL64" s="185"/>
      <c r="HM64" s="185"/>
      <c r="HN64" s="185"/>
      <c r="HO64" s="185"/>
      <c r="HP64" s="185"/>
      <c r="HQ64" s="185"/>
    </row>
    <row r="65" ht="19.5" customHeight="1" spans="1:225">
      <c r="A65" s="182" t="s">
        <v>788</v>
      </c>
      <c r="B65" s="158">
        <v>12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84"/>
      <c r="HC65" s="185"/>
      <c r="HD65" s="185"/>
      <c r="HE65" s="185"/>
      <c r="HF65" s="185"/>
      <c r="HG65" s="185"/>
      <c r="HH65" s="185"/>
      <c r="HI65" s="185"/>
      <c r="HJ65" s="185"/>
      <c r="HK65" s="185"/>
      <c r="HL65" s="185"/>
      <c r="HM65" s="185"/>
      <c r="HN65" s="185"/>
      <c r="HO65" s="185"/>
      <c r="HP65" s="185"/>
      <c r="HQ65" s="185"/>
    </row>
    <row r="66" ht="18.95" customHeight="1" spans="1:1">
      <c r="A66" s="188"/>
    </row>
  </sheetData>
  <mergeCells count="1">
    <mergeCell ref="A1:B1"/>
  </mergeCells>
  <printOptions horizontalCentered="1"/>
  <pageMargins left="0.786805555555556" right="0.786805555555556" top="0.786805555555556" bottom="0.707638888888889" header="0" footer="0"/>
  <pageSetup paperSize="9" firstPageNumber="32" orientation="portrait" useFirstPageNumber="1"/>
  <headerFooter alignWithMargins="0">
    <evenFooter>&amp;C-2-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2017财政收入总表</vt:lpstr>
      <vt:lpstr>2017财政支出总表</vt:lpstr>
      <vt:lpstr>2017一般公共预算收入</vt:lpstr>
      <vt:lpstr>2017一般公共预算支出</vt:lpstr>
      <vt:lpstr>2017基金预算收入 </vt:lpstr>
      <vt:lpstr>2017基金预算支出 </vt:lpstr>
      <vt:lpstr>2017社保基金收支</vt:lpstr>
      <vt:lpstr>2017国有资本</vt:lpstr>
      <vt:lpstr>2017一般公共预算基本支出</vt:lpstr>
      <vt:lpstr>2017年专项转移支付</vt:lpstr>
      <vt:lpstr>2017年一般性转移支付</vt:lpstr>
      <vt:lpstr>2018年上半年一般公共收入</vt:lpstr>
      <vt:lpstr>2018年上半年一般公共支出安排</vt:lpstr>
      <vt:lpstr>2018基金收入</vt:lpstr>
      <vt:lpstr>2018基金支出</vt:lpstr>
      <vt:lpstr>2018社保基金</vt:lpstr>
      <vt:lpstr>2018国有资本</vt:lpstr>
      <vt:lpstr>2017年政府一般债务限额和余额</vt:lpstr>
      <vt:lpstr>2017年政府专项债务限额和余额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Nietzsche jünger</cp:lastModifiedBy>
  <cp:revision>1</cp:revision>
  <dcterms:created xsi:type="dcterms:W3CDTF">2014-03-15T09:03:00Z</dcterms:created>
  <cp:lastPrinted>2018-08-13T10:30:00Z</cp:lastPrinted>
  <dcterms:modified xsi:type="dcterms:W3CDTF">2022-04-12T02:56:52Z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EB7447879EEE4C66AA5C2F66618D5944</vt:lpwstr>
  </property>
</Properties>
</file>